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My Drive\PTUPT dan Artikel\Penelitian Penugasan Pasca 2020\Draft Artikel\"/>
    </mc:Choice>
  </mc:AlternateContent>
  <bookViews>
    <workbookView xWindow="-120" yWindow="330" windowWidth="20730" windowHeight="11310" firstSheet="3" activeTab="4"/>
  </bookViews>
  <sheets>
    <sheet name="inkuiri" sheetId="1" state="hidden" r:id="rId1"/>
    <sheet name="UTS" sheetId="2" state="hidden" r:id="rId2"/>
    <sheet name="UAS" sheetId="3" state="hidden" r:id="rId3"/>
    <sheet name="Data Baru" sheetId="4" r:id="rId4"/>
    <sheet name="Sheet1" sheetId="8" r:id="rId5"/>
    <sheet name="Perbaikan UTS" sheetId="5" state="hidden" r:id="rId6"/>
    <sheet name="Pretest" sheetId="6" state="hidden" r:id="rId7"/>
    <sheet name="Mentah Perbaikan UTS" sheetId="7" state="hidden" r:id="rId8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8" l="1"/>
  <c r="H26" i="8"/>
  <c r="I26" i="8"/>
  <c r="F26" i="8"/>
  <c r="L24" i="8"/>
  <c r="M24" i="8"/>
  <c r="N24" i="8"/>
  <c r="K24" i="8"/>
  <c r="M21" i="8" l="1"/>
  <c r="N21" i="8"/>
  <c r="E21" i="8"/>
  <c r="F21" i="8"/>
  <c r="G21" i="8"/>
  <c r="H21" i="8"/>
  <c r="I21" i="8"/>
  <c r="J21" i="8"/>
  <c r="K21" i="8"/>
  <c r="L21" i="8"/>
  <c r="D21" i="8"/>
  <c r="O8" i="8"/>
  <c r="O9" i="8"/>
  <c r="O10" i="8"/>
  <c r="O11" i="8"/>
  <c r="O12" i="8"/>
  <c r="O13" i="8"/>
  <c r="O14" i="8"/>
  <c r="O15" i="8"/>
  <c r="O16" i="8"/>
  <c r="O17" i="8"/>
  <c r="O18" i="8"/>
  <c r="O19" i="8"/>
  <c r="O20" i="8"/>
  <c r="O7" i="8"/>
  <c r="N20" i="8"/>
  <c r="N8" i="8"/>
  <c r="N9" i="8"/>
  <c r="N10" i="8"/>
  <c r="N11" i="8"/>
  <c r="N12" i="8"/>
  <c r="N13" i="8"/>
  <c r="N14" i="8"/>
  <c r="N15" i="8"/>
  <c r="N16" i="8"/>
  <c r="N17" i="8"/>
  <c r="N18" i="8"/>
  <c r="N19" i="8"/>
  <c r="N7" i="8"/>
  <c r="H20" i="8"/>
  <c r="I20" i="8"/>
  <c r="J20" i="8"/>
  <c r="K20" i="8"/>
  <c r="L20" i="8"/>
  <c r="M20" i="8"/>
  <c r="M8" i="8"/>
  <c r="M9" i="8"/>
  <c r="M10" i="8"/>
  <c r="M11" i="8"/>
  <c r="M12" i="8"/>
  <c r="M13" i="8"/>
  <c r="M14" i="8"/>
  <c r="M15" i="8"/>
  <c r="M16" i="8"/>
  <c r="M17" i="8"/>
  <c r="M18" i="8"/>
  <c r="M19" i="8"/>
  <c r="M7" i="8"/>
  <c r="E20" i="8"/>
  <c r="F20" i="8"/>
  <c r="G20" i="8"/>
  <c r="D20" i="8"/>
  <c r="H8" i="8"/>
  <c r="H9" i="8"/>
  <c r="H10" i="8"/>
  <c r="H11" i="8"/>
  <c r="H12" i="8"/>
  <c r="H13" i="8"/>
  <c r="H14" i="8"/>
  <c r="H15" i="8"/>
  <c r="H16" i="8"/>
  <c r="H17" i="8"/>
  <c r="H18" i="8"/>
  <c r="H19" i="8"/>
  <c r="H7" i="8"/>
  <c r="D7" i="8"/>
  <c r="I7" i="8"/>
  <c r="I13" i="8"/>
  <c r="I18" i="8"/>
  <c r="I9" i="8"/>
  <c r="I11" i="8"/>
  <c r="I12" i="8"/>
  <c r="I14" i="8"/>
  <c r="I15" i="8"/>
  <c r="I16" i="8"/>
  <c r="I17" i="8"/>
  <c r="Z19" i="4"/>
  <c r="AG6" i="4" l="1"/>
  <c r="AG7" i="4"/>
  <c r="AG8" i="4"/>
  <c r="AG9" i="4"/>
  <c r="AG10" i="4"/>
  <c r="AG11" i="4"/>
  <c r="AG12" i="4"/>
  <c r="AG13" i="4"/>
  <c r="AG14" i="4"/>
  <c r="AG15" i="4"/>
  <c r="AG16" i="4"/>
  <c r="AG17" i="4"/>
  <c r="AG5" i="4"/>
  <c r="F22" i="6" l="1"/>
  <c r="F21" i="6"/>
  <c r="F20" i="6"/>
  <c r="L19" i="6"/>
  <c r="K19" i="6"/>
  <c r="J19" i="6"/>
  <c r="F19" i="6"/>
  <c r="L18" i="6"/>
  <c r="K18" i="6"/>
  <c r="J18" i="6"/>
  <c r="F18" i="6"/>
  <c r="L17" i="6"/>
  <c r="K17" i="6"/>
  <c r="J17" i="6"/>
  <c r="F17" i="6"/>
  <c r="L16" i="6"/>
  <c r="K16" i="6"/>
  <c r="J16" i="6"/>
  <c r="F16" i="6"/>
  <c r="L15" i="6"/>
  <c r="K15" i="6"/>
  <c r="J15" i="6"/>
  <c r="F15" i="6"/>
  <c r="L14" i="6"/>
  <c r="K14" i="6"/>
  <c r="J14" i="6"/>
  <c r="F14" i="6"/>
  <c r="L13" i="6"/>
  <c r="K13" i="6"/>
  <c r="J13" i="6"/>
  <c r="F13" i="6"/>
  <c r="L12" i="6"/>
  <c r="K12" i="6"/>
  <c r="J12" i="6"/>
  <c r="F12" i="6"/>
  <c r="L11" i="6"/>
  <c r="K11" i="6"/>
  <c r="J11" i="6"/>
  <c r="F11" i="6"/>
  <c r="L10" i="6"/>
  <c r="K10" i="6"/>
  <c r="J10" i="6"/>
  <c r="F10" i="6"/>
  <c r="L9" i="6"/>
  <c r="K9" i="6"/>
  <c r="J9" i="6"/>
  <c r="F9" i="6"/>
  <c r="L8" i="6"/>
  <c r="L22" i="6" s="1"/>
  <c r="K8" i="6"/>
  <c r="J8" i="6"/>
  <c r="F8" i="6"/>
  <c r="Q18" i="5"/>
  <c r="P18" i="5"/>
  <c r="O18" i="5"/>
  <c r="N18" i="5"/>
  <c r="AA19" i="2" s="1"/>
  <c r="M18" i="5"/>
  <c r="L18" i="5"/>
  <c r="K18" i="5"/>
  <c r="J18" i="5"/>
  <c r="W19" i="2" s="1"/>
  <c r="I18" i="5"/>
  <c r="H18" i="5"/>
  <c r="G18" i="5"/>
  <c r="F18" i="5"/>
  <c r="S19" i="2" s="1"/>
  <c r="E18" i="5"/>
  <c r="D18" i="5"/>
  <c r="C18" i="5"/>
  <c r="Q17" i="5"/>
  <c r="P17" i="5"/>
  <c r="O17" i="5"/>
  <c r="N17" i="5"/>
  <c r="M17" i="5"/>
  <c r="L17" i="5"/>
  <c r="Y18" i="2" s="1"/>
  <c r="K17" i="5"/>
  <c r="X18" i="2" s="1"/>
  <c r="J18" i="2" s="1"/>
  <c r="J17" i="5"/>
  <c r="R17" i="5" s="1"/>
  <c r="I17" i="5"/>
  <c r="H17" i="5"/>
  <c r="G17" i="5"/>
  <c r="F17" i="5"/>
  <c r="E17" i="5"/>
  <c r="D17" i="5"/>
  <c r="Q18" i="2" s="1"/>
  <c r="C17" i="5"/>
  <c r="P18" i="2" s="1"/>
  <c r="Q16" i="5"/>
  <c r="P16" i="5"/>
  <c r="O16" i="5"/>
  <c r="AB17" i="2" s="1"/>
  <c r="N16" i="5"/>
  <c r="AA17" i="2" s="1"/>
  <c r="M16" i="5"/>
  <c r="L16" i="5"/>
  <c r="Y17" i="2" s="1"/>
  <c r="K16" i="5"/>
  <c r="X17" i="2" s="1"/>
  <c r="J17" i="2" s="1"/>
  <c r="J16" i="5"/>
  <c r="W17" i="2" s="1"/>
  <c r="I17" i="2" s="1"/>
  <c r="I16" i="5"/>
  <c r="H16" i="5"/>
  <c r="G16" i="5"/>
  <c r="T17" i="2" s="1"/>
  <c r="F17" i="2" s="1"/>
  <c r="F16" i="5"/>
  <c r="S17" i="2" s="1"/>
  <c r="E16" i="5"/>
  <c r="D16" i="5"/>
  <c r="Q17" i="2" s="1"/>
  <c r="C16" i="5"/>
  <c r="P17" i="2" s="1"/>
  <c r="Q15" i="5"/>
  <c r="P15" i="5"/>
  <c r="O15" i="5"/>
  <c r="AB16" i="2" s="1"/>
  <c r="N15" i="5"/>
  <c r="M15" i="5"/>
  <c r="L15" i="5"/>
  <c r="K15" i="5"/>
  <c r="X16" i="2" s="1"/>
  <c r="J15" i="5"/>
  <c r="W16" i="2" s="1"/>
  <c r="I16" i="2" s="1"/>
  <c r="I15" i="5"/>
  <c r="H15" i="5"/>
  <c r="G15" i="5"/>
  <c r="T16" i="2" s="1"/>
  <c r="F16" i="2" s="1"/>
  <c r="F15" i="5"/>
  <c r="E15" i="5"/>
  <c r="D15" i="5"/>
  <c r="C15" i="5"/>
  <c r="P16" i="2" s="1"/>
  <c r="Q14" i="5"/>
  <c r="P14" i="5"/>
  <c r="O14" i="5"/>
  <c r="N14" i="5"/>
  <c r="AA15" i="2" s="1"/>
  <c r="M14" i="5"/>
  <c r="L14" i="5"/>
  <c r="K14" i="5"/>
  <c r="X15" i="2" s="1"/>
  <c r="J15" i="2" s="1"/>
  <c r="J14" i="5"/>
  <c r="W15" i="2" s="1"/>
  <c r="I14" i="5"/>
  <c r="H14" i="5"/>
  <c r="G14" i="5"/>
  <c r="F14" i="5"/>
  <c r="S15" i="2" s="1"/>
  <c r="E14" i="5"/>
  <c r="D14" i="5"/>
  <c r="C14" i="5"/>
  <c r="Q13" i="5"/>
  <c r="P13" i="5"/>
  <c r="O13" i="5"/>
  <c r="N13" i="5"/>
  <c r="M13" i="5"/>
  <c r="L13" i="5"/>
  <c r="K13" i="5"/>
  <c r="J13" i="5"/>
  <c r="R13" i="5" s="1"/>
  <c r="I13" i="5"/>
  <c r="H13" i="5"/>
  <c r="G13" i="5"/>
  <c r="F13" i="5"/>
  <c r="E13" i="5"/>
  <c r="D13" i="5"/>
  <c r="C13" i="5"/>
  <c r="Q12" i="5"/>
  <c r="P12" i="5"/>
  <c r="O12" i="5"/>
  <c r="N12" i="5"/>
  <c r="M12" i="5"/>
  <c r="L12" i="5"/>
  <c r="Y13" i="2" s="1"/>
  <c r="K12" i="5"/>
  <c r="X13" i="2" s="1"/>
  <c r="J13" i="2" s="1"/>
  <c r="J12" i="5"/>
  <c r="W13" i="2" s="1"/>
  <c r="I13" i="2" s="1"/>
  <c r="I12" i="5"/>
  <c r="H12" i="5"/>
  <c r="G12" i="5"/>
  <c r="F12" i="5"/>
  <c r="E12" i="5"/>
  <c r="D12" i="5"/>
  <c r="Q13" i="2" s="1"/>
  <c r="D13" i="2" s="1"/>
  <c r="C12" i="5"/>
  <c r="P13" i="2" s="1"/>
  <c r="Q11" i="5"/>
  <c r="P11" i="5"/>
  <c r="O11" i="5"/>
  <c r="AB12" i="2" s="1"/>
  <c r="N11" i="5"/>
  <c r="AA12" i="2" s="1"/>
  <c r="M11" i="5"/>
  <c r="L11" i="5"/>
  <c r="K11" i="5"/>
  <c r="X12" i="2" s="1"/>
  <c r="J12" i="2" s="1"/>
  <c r="J11" i="5"/>
  <c r="W12" i="2" s="1"/>
  <c r="I12" i="2" s="1"/>
  <c r="I11" i="5"/>
  <c r="H11" i="5"/>
  <c r="G11" i="5"/>
  <c r="T12" i="2" s="1"/>
  <c r="F12" i="2" s="1"/>
  <c r="F11" i="5"/>
  <c r="S12" i="2" s="1"/>
  <c r="E11" i="5"/>
  <c r="D11" i="5"/>
  <c r="C11" i="5"/>
  <c r="P12" i="2" s="1"/>
  <c r="Q10" i="5"/>
  <c r="P10" i="5"/>
  <c r="O10" i="5"/>
  <c r="N10" i="5"/>
  <c r="AA11" i="2" s="1"/>
  <c r="M10" i="5"/>
  <c r="L10" i="5"/>
  <c r="K10" i="5"/>
  <c r="X11" i="2" s="1"/>
  <c r="J11" i="2" s="1"/>
  <c r="J10" i="5"/>
  <c r="W11" i="2" s="1"/>
  <c r="I11" i="2" s="1"/>
  <c r="I10" i="5"/>
  <c r="H10" i="5"/>
  <c r="G10" i="5"/>
  <c r="F10" i="5"/>
  <c r="S11" i="2" s="1"/>
  <c r="E10" i="5"/>
  <c r="D10" i="5"/>
  <c r="C10" i="5"/>
  <c r="Q9" i="5"/>
  <c r="P9" i="5"/>
  <c r="O9" i="5"/>
  <c r="N9" i="5"/>
  <c r="M9" i="5"/>
  <c r="L9" i="5"/>
  <c r="Y10" i="2" s="1"/>
  <c r="K9" i="5"/>
  <c r="X10" i="2" s="1"/>
  <c r="J10" i="2" s="1"/>
  <c r="J9" i="5"/>
  <c r="I9" i="5"/>
  <c r="H9" i="5"/>
  <c r="G9" i="5"/>
  <c r="F9" i="5"/>
  <c r="E9" i="5"/>
  <c r="D9" i="5"/>
  <c r="Q10" i="2" s="1"/>
  <c r="C9" i="5"/>
  <c r="P10" i="2" s="1"/>
  <c r="Q8" i="5"/>
  <c r="P8" i="5"/>
  <c r="O8" i="5"/>
  <c r="AB9" i="2" s="1"/>
  <c r="N8" i="5"/>
  <c r="AA9" i="2" s="1"/>
  <c r="M8" i="5"/>
  <c r="L8" i="5"/>
  <c r="Y9" i="2" s="1"/>
  <c r="K8" i="5"/>
  <c r="X9" i="2" s="1"/>
  <c r="J9" i="2" s="1"/>
  <c r="J8" i="5"/>
  <c r="R8" i="5" s="1"/>
  <c r="I8" i="5"/>
  <c r="H8" i="5"/>
  <c r="G8" i="5"/>
  <c r="T9" i="2" s="1"/>
  <c r="F9" i="2" s="1"/>
  <c r="F8" i="5"/>
  <c r="S9" i="2" s="1"/>
  <c r="E8" i="5"/>
  <c r="D8" i="5"/>
  <c r="Q9" i="2" s="1"/>
  <c r="C8" i="5"/>
  <c r="P9" i="2" s="1"/>
  <c r="Q7" i="5"/>
  <c r="P7" i="5"/>
  <c r="O7" i="5"/>
  <c r="AB8" i="2" s="1"/>
  <c r="N7" i="5"/>
  <c r="M7" i="5"/>
  <c r="L7" i="5"/>
  <c r="K7" i="5"/>
  <c r="X8" i="2" s="1"/>
  <c r="J8" i="2" s="1"/>
  <c r="J7" i="5"/>
  <c r="W8" i="2" s="1"/>
  <c r="I8" i="2" s="1"/>
  <c r="I7" i="5"/>
  <c r="H7" i="5"/>
  <c r="G7" i="5"/>
  <c r="T8" i="2" s="1"/>
  <c r="F8" i="2" s="1"/>
  <c r="F7" i="5"/>
  <c r="E7" i="5"/>
  <c r="D7" i="5"/>
  <c r="C7" i="5"/>
  <c r="P8" i="2" s="1"/>
  <c r="Q6" i="5"/>
  <c r="P6" i="5"/>
  <c r="O6" i="5"/>
  <c r="N6" i="5"/>
  <c r="AA7" i="2" s="1"/>
  <c r="M6" i="5"/>
  <c r="L6" i="5"/>
  <c r="Y7" i="2" s="1"/>
  <c r="K6" i="5"/>
  <c r="J6" i="5"/>
  <c r="W7" i="2" s="1"/>
  <c r="I6" i="5"/>
  <c r="H6" i="5"/>
  <c r="G6" i="5"/>
  <c r="F6" i="5"/>
  <c r="S7" i="2" s="1"/>
  <c r="E6" i="5"/>
  <c r="D6" i="5"/>
  <c r="Q7" i="2" s="1"/>
  <c r="D7" i="2" s="1"/>
  <c r="C6" i="5"/>
  <c r="AC17" i="4"/>
  <c r="AB17" i="4"/>
  <c r="AA17" i="4"/>
  <c r="Z17" i="4"/>
  <c r="T17" i="4"/>
  <c r="S17" i="4"/>
  <c r="R17" i="4"/>
  <c r="AC16" i="4"/>
  <c r="AB16" i="4"/>
  <c r="AA16" i="4"/>
  <c r="Z16" i="4"/>
  <c r="T16" i="4"/>
  <c r="S16" i="4"/>
  <c r="R16" i="4"/>
  <c r="AC15" i="4"/>
  <c r="AB15" i="4"/>
  <c r="AA15" i="4"/>
  <c r="Z15" i="4"/>
  <c r="T15" i="4"/>
  <c r="S15" i="4"/>
  <c r="R15" i="4"/>
  <c r="AC14" i="4"/>
  <c r="AB14" i="4"/>
  <c r="AA14" i="4"/>
  <c r="Z14" i="4"/>
  <c r="T14" i="4"/>
  <c r="S14" i="4"/>
  <c r="R14" i="4"/>
  <c r="AC13" i="4"/>
  <c r="AB13" i="4"/>
  <c r="AA13" i="4"/>
  <c r="Z13" i="4"/>
  <c r="T13" i="4"/>
  <c r="S13" i="4"/>
  <c r="R13" i="4"/>
  <c r="AC12" i="4"/>
  <c r="AB12" i="4"/>
  <c r="AA12" i="4"/>
  <c r="Z12" i="4"/>
  <c r="T12" i="4"/>
  <c r="S12" i="4"/>
  <c r="R12" i="4"/>
  <c r="AC11" i="4"/>
  <c r="AB11" i="4"/>
  <c r="AA11" i="4"/>
  <c r="Z11" i="4"/>
  <c r="T11" i="4"/>
  <c r="S11" i="4"/>
  <c r="R11" i="4"/>
  <c r="AC10" i="4"/>
  <c r="AB10" i="4"/>
  <c r="AA10" i="4"/>
  <c r="Z10" i="4"/>
  <c r="T10" i="4"/>
  <c r="S10" i="4"/>
  <c r="R10" i="4"/>
  <c r="AC9" i="4"/>
  <c r="AB9" i="4"/>
  <c r="AA9" i="4"/>
  <c r="Z9" i="4"/>
  <c r="T9" i="4"/>
  <c r="S9" i="4"/>
  <c r="R9" i="4"/>
  <c r="AC8" i="4"/>
  <c r="AB8" i="4"/>
  <c r="AA8" i="4"/>
  <c r="Z8" i="4"/>
  <c r="T8" i="4"/>
  <c r="S8" i="4"/>
  <c r="R8" i="4"/>
  <c r="AC7" i="4"/>
  <c r="AB7" i="4"/>
  <c r="AA7" i="4"/>
  <c r="Z7" i="4"/>
  <c r="T7" i="4"/>
  <c r="S7" i="4"/>
  <c r="R7" i="4"/>
  <c r="AC6" i="4"/>
  <c r="AB6" i="4"/>
  <c r="AA6" i="4"/>
  <c r="Z6" i="4"/>
  <c r="T6" i="4"/>
  <c r="S6" i="4"/>
  <c r="R6" i="4"/>
  <c r="AC5" i="4"/>
  <c r="AB5" i="4"/>
  <c r="AA5" i="4"/>
  <c r="Z5" i="4"/>
  <c r="V5" i="4"/>
  <c r="U5" i="4"/>
  <c r="T5" i="4"/>
  <c r="S5" i="4"/>
  <c r="R5" i="4"/>
  <c r="O16" i="4"/>
  <c r="G16" i="4"/>
  <c r="W17" i="4" s="1"/>
  <c r="F16" i="4"/>
  <c r="E16" i="4"/>
  <c r="D16" i="4"/>
  <c r="O15" i="4"/>
  <c r="G15" i="4"/>
  <c r="W16" i="4" s="1"/>
  <c r="F15" i="4"/>
  <c r="V17" i="4" s="1"/>
  <c r="E15" i="4"/>
  <c r="D15" i="4"/>
  <c r="O14" i="4"/>
  <c r="G14" i="4"/>
  <c r="W15" i="4" s="1"/>
  <c r="F14" i="4"/>
  <c r="V16" i="4" s="1"/>
  <c r="E14" i="4"/>
  <c r="D14" i="4"/>
  <c r="O13" i="4"/>
  <c r="G13" i="4"/>
  <c r="W14" i="4" s="1"/>
  <c r="F13" i="4"/>
  <c r="V15" i="4" s="1"/>
  <c r="E13" i="4"/>
  <c r="U15" i="4" s="1"/>
  <c r="D13" i="4"/>
  <c r="O12" i="4"/>
  <c r="G12" i="4"/>
  <c r="W13" i="4" s="1"/>
  <c r="F12" i="4"/>
  <c r="V14" i="4" s="1"/>
  <c r="E12" i="4"/>
  <c r="D12" i="4"/>
  <c r="O11" i="4"/>
  <c r="G11" i="4"/>
  <c r="W12" i="4" s="1"/>
  <c r="F11" i="4"/>
  <c r="V13" i="4" s="1"/>
  <c r="E11" i="4"/>
  <c r="D11" i="4"/>
  <c r="O10" i="4"/>
  <c r="G10" i="4"/>
  <c r="W11" i="4" s="1"/>
  <c r="F10" i="4"/>
  <c r="V12" i="4" s="1"/>
  <c r="E10" i="4"/>
  <c r="D10" i="4"/>
  <c r="O9" i="4"/>
  <c r="G9" i="4"/>
  <c r="W10" i="4" s="1"/>
  <c r="F9" i="4"/>
  <c r="V11" i="4" s="1"/>
  <c r="E9" i="4"/>
  <c r="D9" i="4"/>
  <c r="O8" i="4"/>
  <c r="G8" i="4"/>
  <c r="W9" i="4" s="1"/>
  <c r="F8" i="4"/>
  <c r="V10" i="4" s="1"/>
  <c r="E8" i="4"/>
  <c r="D8" i="4"/>
  <c r="O7" i="4"/>
  <c r="G7" i="4"/>
  <c r="W8" i="4" s="1"/>
  <c r="F7" i="4"/>
  <c r="V9" i="4" s="1"/>
  <c r="E7" i="4"/>
  <c r="D7" i="4"/>
  <c r="O6" i="4"/>
  <c r="G6" i="4"/>
  <c r="W7" i="4" s="1"/>
  <c r="F6" i="4"/>
  <c r="V8" i="4" s="1"/>
  <c r="E6" i="4"/>
  <c r="D6" i="4"/>
  <c r="O5" i="4"/>
  <c r="G5" i="4"/>
  <c r="W6" i="4" s="1"/>
  <c r="F5" i="4"/>
  <c r="V7" i="4" s="1"/>
  <c r="E5" i="4"/>
  <c r="D5" i="4"/>
  <c r="O4" i="4"/>
  <c r="G4" i="4"/>
  <c r="W5" i="4" s="1"/>
  <c r="F4" i="4"/>
  <c r="V6" i="4" s="1"/>
  <c r="E4" i="4"/>
  <c r="D4" i="4"/>
  <c r="O29" i="2"/>
  <c r="N29" i="2"/>
  <c r="L29" i="2"/>
  <c r="C29" i="2"/>
  <c r="O28" i="2"/>
  <c r="N28" i="2"/>
  <c r="L28" i="2"/>
  <c r="C28" i="2"/>
  <c r="O24" i="2"/>
  <c r="N24" i="2"/>
  <c r="L24" i="2"/>
  <c r="C24" i="2"/>
  <c r="O23" i="2"/>
  <c r="N23" i="2"/>
  <c r="L23" i="2"/>
  <c r="C23" i="2"/>
  <c r="O22" i="2"/>
  <c r="N22" i="2"/>
  <c r="L22" i="2"/>
  <c r="C22" i="2"/>
  <c r="O20" i="2"/>
  <c r="O25" i="2" s="1"/>
  <c r="N20" i="2"/>
  <c r="N25" i="2" s="1"/>
  <c r="AD19" i="2"/>
  <c r="AC19" i="2"/>
  <c r="AB19" i="2"/>
  <c r="Z19" i="2"/>
  <c r="Y19" i="2"/>
  <c r="X19" i="2"/>
  <c r="J19" i="2" s="1"/>
  <c r="V19" i="2"/>
  <c r="U19" i="2"/>
  <c r="T19" i="2"/>
  <c r="R19" i="2"/>
  <c r="Q19" i="2"/>
  <c r="D19" i="2" s="1"/>
  <c r="P19" i="2"/>
  <c r="M19" i="2"/>
  <c r="K19" i="2"/>
  <c r="I19" i="2"/>
  <c r="H19" i="2"/>
  <c r="G19" i="2"/>
  <c r="F19" i="2"/>
  <c r="E19" i="2"/>
  <c r="AF18" i="2"/>
  <c r="AD18" i="2"/>
  <c r="AC18" i="2"/>
  <c r="AB18" i="2"/>
  <c r="AA18" i="2"/>
  <c r="Z18" i="2"/>
  <c r="W18" i="2"/>
  <c r="V18" i="2"/>
  <c r="U18" i="2"/>
  <c r="G18" i="2" s="1"/>
  <c r="T18" i="2"/>
  <c r="F18" i="2" s="1"/>
  <c r="S18" i="2"/>
  <c r="AE18" i="2" s="1"/>
  <c r="AG18" i="2" s="1"/>
  <c r="R18" i="2"/>
  <c r="M18" i="2"/>
  <c r="K18" i="2"/>
  <c r="I18" i="2"/>
  <c r="H18" i="2"/>
  <c r="E18" i="2"/>
  <c r="D18" i="2"/>
  <c r="AF17" i="2"/>
  <c r="AD17" i="2"/>
  <c r="AC17" i="2"/>
  <c r="Z17" i="2"/>
  <c r="V17" i="2"/>
  <c r="H17" i="2" s="1"/>
  <c r="U17" i="2"/>
  <c r="R17" i="2"/>
  <c r="E17" i="2" s="1"/>
  <c r="M17" i="2"/>
  <c r="K17" i="2"/>
  <c r="G17" i="2"/>
  <c r="D17" i="2"/>
  <c r="AF16" i="2"/>
  <c r="AD16" i="2"/>
  <c r="AC16" i="2"/>
  <c r="AA16" i="2"/>
  <c r="Z16" i="2"/>
  <c r="Y16" i="2"/>
  <c r="V16" i="2"/>
  <c r="U16" i="2"/>
  <c r="S16" i="2"/>
  <c r="R16" i="2"/>
  <c r="E16" i="2" s="1"/>
  <c r="Q16" i="2"/>
  <c r="D16" i="2" s="1"/>
  <c r="M16" i="2"/>
  <c r="K16" i="2"/>
  <c r="J16" i="2"/>
  <c r="H16" i="2"/>
  <c r="G16" i="2"/>
  <c r="AF15" i="2"/>
  <c r="AD15" i="2"/>
  <c r="AC15" i="2"/>
  <c r="AB15" i="2"/>
  <c r="Z15" i="2"/>
  <c r="Y15" i="2"/>
  <c r="V15" i="2"/>
  <c r="H15" i="2" s="1"/>
  <c r="U15" i="2"/>
  <c r="G15" i="2" s="1"/>
  <c r="T15" i="2"/>
  <c r="F15" i="2" s="1"/>
  <c r="R15" i="2"/>
  <c r="Q15" i="2"/>
  <c r="D15" i="2" s="1"/>
  <c r="P15" i="2"/>
  <c r="M15" i="2"/>
  <c r="K15" i="2"/>
  <c r="I15" i="2"/>
  <c r="E15" i="2"/>
  <c r="AF14" i="2"/>
  <c r="AD14" i="2"/>
  <c r="AC14" i="2"/>
  <c r="AB14" i="2"/>
  <c r="AA14" i="2"/>
  <c r="Z14" i="2"/>
  <c r="Y14" i="2"/>
  <c r="X14" i="2"/>
  <c r="J14" i="2" s="1"/>
  <c r="W14" i="2"/>
  <c r="I14" i="2" s="1"/>
  <c r="V14" i="2"/>
  <c r="U14" i="2"/>
  <c r="T14" i="2"/>
  <c r="S14" i="2"/>
  <c r="R14" i="2"/>
  <c r="Q14" i="2"/>
  <c r="P14" i="2"/>
  <c r="M14" i="2"/>
  <c r="K14" i="2"/>
  <c r="H14" i="2"/>
  <c r="G14" i="2"/>
  <c r="F14" i="2"/>
  <c r="E14" i="2"/>
  <c r="D14" i="2"/>
  <c r="AF13" i="2"/>
  <c r="AD13" i="2"/>
  <c r="K13" i="2" s="1"/>
  <c r="AC13" i="2"/>
  <c r="AB13" i="2"/>
  <c r="AA13" i="2"/>
  <c r="Z13" i="2"/>
  <c r="V13" i="2"/>
  <c r="H13" i="2" s="1"/>
  <c r="U13" i="2"/>
  <c r="T13" i="2"/>
  <c r="F13" i="2" s="1"/>
  <c r="S13" i="2"/>
  <c r="R13" i="2"/>
  <c r="E13" i="2" s="1"/>
  <c r="M13" i="2"/>
  <c r="G13" i="2"/>
  <c r="AF12" i="2"/>
  <c r="AD12" i="2"/>
  <c r="AC12" i="2"/>
  <c r="Z12" i="2"/>
  <c r="Y12" i="2"/>
  <c r="V12" i="2"/>
  <c r="H12" i="2" s="1"/>
  <c r="U12" i="2"/>
  <c r="G12" i="2" s="1"/>
  <c r="R12" i="2"/>
  <c r="E12" i="2" s="1"/>
  <c r="Q12" i="2"/>
  <c r="D12" i="2" s="1"/>
  <c r="M12" i="2"/>
  <c r="K12" i="2"/>
  <c r="AF11" i="2"/>
  <c r="AD11" i="2"/>
  <c r="AC11" i="2"/>
  <c r="AB11" i="2"/>
  <c r="Z11" i="2"/>
  <c r="Y11" i="2"/>
  <c r="V11" i="2"/>
  <c r="U11" i="2"/>
  <c r="T11" i="2"/>
  <c r="F11" i="2" s="1"/>
  <c r="R11" i="2"/>
  <c r="Q11" i="2"/>
  <c r="D11" i="2" s="1"/>
  <c r="P11" i="2"/>
  <c r="M11" i="2"/>
  <c r="K11" i="2"/>
  <c r="H11" i="2"/>
  <c r="G11" i="2"/>
  <c r="E11" i="2"/>
  <c r="AF10" i="2"/>
  <c r="AD10" i="2"/>
  <c r="AC10" i="2"/>
  <c r="AB10" i="2"/>
  <c r="AA10" i="2"/>
  <c r="Z10" i="2"/>
  <c r="W10" i="2"/>
  <c r="I10" i="2" s="1"/>
  <c r="V10" i="2"/>
  <c r="U10" i="2"/>
  <c r="G10" i="2" s="1"/>
  <c r="T10" i="2"/>
  <c r="F10" i="2" s="1"/>
  <c r="S10" i="2"/>
  <c r="R10" i="2"/>
  <c r="M10" i="2"/>
  <c r="L20" i="2" s="1"/>
  <c r="L25" i="2" s="1"/>
  <c r="K10" i="2"/>
  <c r="H10" i="2"/>
  <c r="E10" i="2"/>
  <c r="D10" i="2"/>
  <c r="AF9" i="2"/>
  <c r="AD9" i="2"/>
  <c r="K9" i="2" s="1"/>
  <c r="AC9" i="2"/>
  <c r="Z9" i="2"/>
  <c r="W9" i="2"/>
  <c r="I9" i="2" s="1"/>
  <c r="V9" i="2"/>
  <c r="H9" i="2" s="1"/>
  <c r="U9" i="2"/>
  <c r="R9" i="2"/>
  <c r="M9" i="2"/>
  <c r="G9" i="2"/>
  <c r="E9" i="2"/>
  <c r="D9" i="2"/>
  <c r="AF8" i="2"/>
  <c r="AD8" i="2"/>
  <c r="K8" i="2" s="1"/>
  <c r="AC8" i="2"/>
  <c r="AA8" i="2"/>
  <c r="Z8" i="2"/>
  <c r="Y8" i="2"/>
  <c r="V8" i="2"/>
  <c r="U8" i="2"/>
  <c r="S8" i="2"/>
  <c r="R8" i="2"/>
  <c r="E8" i="2" s="1"/>
  <c r="Q8" i="2"/>
  <c r="D8" i="2" s="1"/>
  <c r="M8" i="2"/>
  <c r="H8" i="2"/>
  <c r="G8" i="2"/>
  <c r="AF7" i="2"/>
  <c r="AD7" i="2"/>
  <c r="AC7" i="2"/>
  <c r="AB7" i="2"/>
  <c r="Z7" i="2"/>
  <c r="X7" i="2"/>
  <c r="J7" i="2" s="1"/>
  <c r="V7" i="2"/>
  <c r="H7" i="2" s="1"/>
  <c r="U7" i="2"/>
  <c r="G7" i="2" s="1"/>
  <c r="T7" i="2"/>
  <c r="F7" i="2" s="1"/>
  <c r="R7" i="2"/>
  <c r="P7" i="2"/>
  <c r="M7" i="2"/>
  <c r="K7" i="2"/>
  <c r="I7" i="2"/>
  <c r="E7" i="2"/>
  <c r="H21" i="1"/>
  <c r="E21" i="1"/>
  <c r="D21" i="1"/>
  <c r="C21" i="1"/>
  <c r="I20" i="1"/>
  <c r="I21" i="1" s="1"/>
  <c r="H20" i="1"/>
  <c r="F20" i="1"/>
  <c r="F21" i="1" s="1"/>
  <c r="E20" i="1"/>
  <c r="D20" i="1"/>
  <c r="C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U11" i="4" l="1"/>
  <c r="AD11" i="4"/>
  <c r="AE11" i="4" s="1"/>
  <c r="U8" i="4"/>
  <c r="U16" i="4"/>
  <c r="AC18" i="4"/>
  <c r="AE26" i="4" s="1"/>
  <c r="I16" i="4"/>
  <c r="I13" i="4"/>
  <c r="U12" i="4"/>
  <c r="U6" i="4"/>
  <c r="U18" i="4" s="1"/>
  <c r="U14" i="4"/>
  <c r="AD13" i="4"/>
  <c r="AE13" i="4" s="1"/>
  <c r="I9" i="4"/>
  <c r="AA18" i="4"/>
  <c r="AE24" i="4" s="1"/>
  <c r="AD15" i="4"/>
  <c r="AE15" i="4" s="1"/>
  <c r="U7" i="4"/>
  <c r="AD17" i="4"/>
  <c r="AE17" i="4" s="1"/>
  <c r="W18" i="4"/>
  <c r="AD25" i="4" s="1"/>
  <c r="U10" i="4"/>
  <c r="I11" i="4"/>
  <c r="I12" i="4"/>
  <c r="AD7" i="4"/>
  <c r="AE7" i="4" s="1"/>
  <c r="I5" i="4"/>
  <c r="I7" i="4"/>
  <c r="AD9" i="4"/>
  <c r="AE9" i="4" s="1"/>
  <c r="I15" i="4"/>
  <c r="C20" i="2"/>
  <c r="C25" i="2" s="1"/>
  <c r="P20" i="2"/>
  <c r="AD5" i="4"/>
  <c r="AB18" i="4"/>
  <c r="AE25" i="4" s="1"/>
  <c r="U9" i="4"/>
  <c r="U13" i="4"/>
  <c r="U17" i="4"/>
  <c r="H11" i="4"/>
  <c r="X12" i="4" s="1"/>
  <c r="AE17" i="2"/>
  <c r="AG17" i="2" s="1"/>
  <c r="I4" i="4"/>
  <c r="I8" i="4"/>
  <c r="V18" i="4"/>
  <c r="AD24" i="4" s="1"/>
  <c r="AD8" i="4"/>
  <c r="AE8" i="4" s="1"/>
  <c r="AD12" i="4"/>
  <c r="AE12" i="4" s="1"/>
  <c r="AD16" i="4"/>
  <c r="AE16" i="4" s="1"/>
  <c r="J28" i="6"/>
  <c r="J25" i="6"/>
  <c r="R6" i="5"/>
  <c r="R7" i="5"/>
  <c r="R9" i="5"/>
  <c r="R10" i="5"/>
  <c r="R11" i="5"/>
  <c r="R12" i="5"/>
  <c r="R14" i="5"/>
  <c r="R15" i="5"/>
  <c r="R16" i="5"/>
  <c r="R18" i="5"/>
  <c r="K22" i="6"/>
  <c r="K24" i="6"/>
  <c r="AE9" i="2"/>
  <c r="AG9" i="2" s="1"/>
  <c r="H10" i="4"/>
  <c r="X11" i="4" s="1"/>
  <c r="Y11" i="4" s="1"/>
  <c r="AE13" i="2"/>
  <c r="AG13" i="2" s="1"/>
  <c r="H13" i="4"/>
  <c r="X14" i="4" s="1"/>
  <c r="Y14" i="4" s="1"/>
  <c r="AE16" i="2"/>
  <c r="AG16" i="2" s="1"/>
  <c r="H14" i="4"/>
  <c r="X15" i="4" s="1"/>
  <c r="Y15" i="4" s="1"/>
  <c r="H15" i="4"/>
  <c r="X16" i="4" s="1"/>
  <c r="Y16" i="4" s="1"/>
  <c r="H8" i="4"/>
  <c r="X9" i="4" s="1"/>
  <c r="AE11" i="2"/>
  <c r="AG11" i="2" s="1"/>
  <c r="AE15" i="2"/>
  <c r="AG15" i="2" s="1"/>
  <c r="H12" i="4"/>
  <c r="X13" i="4" s="1"/>
  <c r="AE14" i="2"/>
  <c r="AG14" i="2" s="1"/>
  <c r="H5" i="4"/>
  <c r="X6" i="4" s="1"/>
  <c r="AE8" i="2"/>
  <c r="AG8" i="2" s="1"/>
  <c r="N30" i="2"/>
  <c r="Z18" i="4"/>
  <c r="AE23" i="4" s="1"/>
  <c r="L30" i="2"/>
  <c r="H6" i="4"/>
  <c r="X7" i="4" s="1"/>
  <c r="AE12" i="2"/>
  <c r="AG12" i="2" s="1"/>
  <c r="H9" i="4"/>
  <c r="X10" i="4" s="1"/>
  <c r="Y10" i="4" s="1"/>
  <c r="J20" i="1"/>
  <c r="J21" i="1" s="1"/>
  <c r="H16" i="4"/>
  <c r="X17" i="4" s="1"/>
  <c r="AE19" i="2"/>
  <c r="I6" i="4"/>
  <c r="I10" i="4"/>
  <c r="I14" i="4"/>
  <c r="J27" i="6"/>
  <c r="AE7" i="2"/>
  <c r="O30" i="2"/>
  <c r="H4" i="4"/>
  <c r="X5" i="4" s="1"/>
  <c r="Y5" i="4" s="1"/>
  <c r="C30" i="2"/>
  <c r="H7" i="4"/>
  <c r="X8" i="4" s="1"/>
  <c r="Y8" i="4" s="1"/>
  <c r="AE10" i="2"/>
  <c r="AG10" i="2" s="1"/>
  <c r="AD6" i="4"/>
  <c r="AE6" i="4" s="1"/>
  <c r="AD10" i="4"/>
  <c r="AE10" i="4" s="1"/>
  <c r="AD14" i="4"/>
  <c r="AE14" i="4" s="1"/>
  <c r="K23" i="6"/>
  <c r="J23" i="6"/>
  <c r="J21" i="6"/>
  <c r="K21" i="6"/>
  <c r="L23" i="6"/>
  <c r="L21" i="6"/>
  <c r="J24" i="6"/>
  <c r="J22" i="6"/>
  <c r="L24" i="6"/>
  <c r="J26" i="6"/>
  <c r="Y12" i="4" l="1"/>
  <c r="AD23" i="4"/>
  <c r="Y6" i="4"/>
  <c r="Y7" i="4"/>
  <c r="AE22" i="2"/>
  <c r="AE20" i="2"/>
  <c r="AG7" i="2"/>
  <c r="Y17" i="4"/>
  <c r="Y13" i="4"/>
  <c r="Y9" i="4"/>
  <c r="R19" i="5"/>
  <c r="R20" i="5" s="1"/>
  <c r="AE5" i="4"/>
  <c r="AE18" i="4" s="1"/>
  <c r="X18" i="4"/>
  <c r="AD26" i="4" s="1"/>
</calcChain>
</file>

<file path=xl/comments1.xml><?xml version="1.0" encoding="utf-8"?>
<comments xmlns="http://schemas.openxmlformats.org/spreadsheetml/2006/main">
  <authors>
    <author/>
  </authors>
  <commentList>
    <comment ref="C6" authorId="0" shapeId="0">
      <text>
        <r>
          <rPr>
            <sz val="10"/>
            <color rgb="FF000000"/>
            <rFont val="Arial"/>
            <family val="2"/>
          </rPr>
          <t>Cis. iki perbaikan UTS. Tolong koreksien ya. nek kunci jawabanku onok seng kurang bener
	-Dhanang Setyo</t>
        </r>
      </text>
    </comment>
  </commentList>
</comments>
</file>

<file path=xl/sharedStrings.xml><?xml version="1.0" encoding="utf-8"?>
<sst xmlns="http://schemas.openxmlformats.org/spreadsheetml/2006/main" count="689" uniqueCount="104">
  <si>
    <t>MATRIKS PENILAIAN INKUIRI</t>
  </si>
  <si>
    <t>PENDIDIKAN SAINS 2020 A</t>
  </si>
  <si>
    <t>NIM</t>
  </si>
  <si>
    <t>Nama</t>
  </si>
  <si>
    <t>Aspek yang Dinilai</t>
  </si>
  <si>
    <t>Nilai</t>
  </si>
  <si>
    <t xml:space="preserve">Merumuskan masalah </t>
  </si>
  <si>
    <t>Merumuskan hipotesis</t>
  </si>
  <si>
    <t>Merancang langkah uji hipotesis</t>
  </si>
  <si>
    <t xml:space="preserve">Menyajikan data </t>
  </si>
  <si>
    <t>Menganalisis data</t>
  </si>
  <si>
    <t>Menarik kesimpulan</t>
  </si>
  <si>
    <t>Filza Azura</t>
  </si>
  <si>
    <t>Moch Alif Mahfudin</t>
  </si>
  <si>
    <t>Mardiyanti Hartati</t>
  </si>
  <si>
    <t>Shofiyatul Masruro</t>
  </si>
  <si>
    <t>Vina Melinda</t>
  </si>
  <si>
    <t>Fauziyah Khoirinnisyah</t>
  </si>
  <si>
    <t>Soraya Dewi Novidya</t>
  </si>
  <si>
    <t>Hasan Nuurul Hidaayatullaah</t>
  </si>
  <si>
    <t>Vichi Cahyo Eko Saputro</t>
  </si>
  <si>
    <t>Moh. Shohib</t>
  </si>
  <si>
    <t>Desi Wulandari</t>
  </si>
  <si>
    <t>Reni Wulandari</t>
  </si>
  <si>
    <t>Muhammad Ziyyauddin</t>
  </si>
  <si>
    <t>Total</t>
  </si>
  <si>
    <t>Rata-rata</t>
  </si>
  <si>
    <t>MATRIKS UTS FISIKA SEKOLAH</t>
  </si>
  <si>
    <t>Indikator 1</t>
  </si>
  <si>
    <t>Indikator 2</t>
  </si>
  <si>
    <t>Indikator 3</t>
  </si>
  <si>
    <t>Indikator 5</t>
  </si>
  <si>
    <t>Nomor Butir Soal</t>
  </si>
  <si>
    <t>Penilaian Inkuiri (Menganalisis Data)</t>
  </si>
  <si>
    <t>b</t>
  </si>
  <si>
    <t>c</t>
  </si>
  <si>
    <t>e</t>
  </si>
  <si>
    <t>f</t>
  </si>
  <si>
    <t>g</t>
  </si>
  <si>
    <t>h</t>
  </si>
  <si>
    <t>i</t>
  </si>
  <si>
    <t>o</t>
  </si>
  <si>
    <t>a</t>
  </si>
  <si>
    <t>d</t>
  </si>
  <si>
    <t>j</t>
  </si>
  <si>
    <t>k</t>
  </si>
  <si>
    <t>l</t>
  </si>
  <si>
    <t>m</t>
  </si>
  <si>
    <t>n</t>
  </si>
  <si>
    <t>60,5</t>
  </si>
  <si>
    <t>59,2</t>
  </si>
  <si>
    <t>65,8</t>
  </si>
  <si>
    <t>57,9</t>
  </si>
  <si>
    <t>75,0</t>
  </si>
  <si>
    <t>32,9</t>
  </si>
  <si>
    <t>56,6</t>
  </si>
  <si>
    <t>64,5</t>
  </si>
  <si>
    <t>50,0</t>
  </si>
  <si>
    <t>61,8</t>
  </si>
  <si>
    <t>7,0</t>
  </si>
  <si>
    <t>Skor 4</t>
  </si>
  <si>
    <t>Skor 3</t>
  </si>
  <si>
    <t>Skor 2</t>
  </si>
  <si>
    <t>Skor 1</t>
  </si>
  <si>
    <t>Keterampilan membuat argumen</t>
  </si>
  <si>
    <t>Keterampilan mengenali konsep/prinsip yang menjadi dasar pengembangan argumen;</t>
  </si>
  <si>
    <t>Keterampilan menilai ketepatan argumen berdasarkan konsep/prinsip IPA/fisika sekolah</t>
  </si>
  <si>
    <t>1 dan 4</t>
  </si>
  <si>
    <t>Posttest</t>
  </si>
  <si>
    <t>P</t>
  </si>
  <si>
    <t>L</t>
  </si>
  <si>
    <t>Indikator Pretest</t>
  </si>
  <si>
    <t>Indikator Posttest</t>
  </si>
  <si>
    <t>Nilai Pre</t>
  </si>
  <si>
    <t>Nilai Post</t>
  </si>
  <si>
    <t>Pretest</t>
  </si>
  <si>
    <t>MATRIKS NILAI UTS PERBAIKAN FISIKA SEKOLAH</t>
  </si>
  <si>
    <t>Tingkat Keyakinan</t>
  </si>
  <si>
    <t>Analisis Alasan</t>
  </si>
  <si>
    <t>Kunci Jawaban</t>
  </si>
  <si>
    <t>B</t>
  </si>
  <si>
    <t>S</t>
  </si>
  <si>
    <t>Taraf Kesukaran Butir</t>
  </si>
  <si>
    <t>JK</t>
  </si>
  <si>
    <t>Butir Soal Pretest</t>
  </si>
  <si>
    <t>Butir Soal Posttest</t>
  </si>
  <si>
    <t>Indikator Berpikir Kritis</t>
  </si>
  <si>
    <t>5a-5o</t>
  </si>
  <si>
    <t>Tabel Rekap Tiap Butir Soal</t>
  </si>
  <si>
    <t>Tabel Rekap Butir Soal Menjadi Indikator</t>
  </si>
  <si>
    <t>deduktif</t>
  </si>
  <si>
    <t>penjelasan</t>
  </si>
  <si>
    <t>argumen</t>
  </si>
  <si>
    <t>Postest</t>
  </si>
  <si>
    <t>INI YANG DIGUNAKAN</t>
  </si>
  <si>
    <t>STDEV</t>
  </si>
  <si>
    <t>AVERAGE</t>
  </si>
  <si>
    <t>Induktif</t>
  </si>
  <si>
    <t>c1</t>
  </si>
  <si>
    <t>c2</t>
  </si>
  <si>
    <t>c3</t>
  </si>
  <si>
    <t>c4</t>
  </si>
  <si>
    <t>Critical thinking Indicators</t>
  </si>
  <si>
    <t>Average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</si>
</sst>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>
    <font>
      <sz val="10"/>
      <color rgb="FF000000"/>
      <name val="Arial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3C4043"/>
      <name val="Arial"/>
      <family val="2"/>
    </font>
    <font>
      <sz val="10"/>
      <color rgb="FF000000"/>
      <name val="Roboto"/>
    </font>
    <font>
      <sz val="10"/>
      <color rgb="FF3C4043"/>
      <name val="Google Sans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2"/>
      <color rgb="FF4472C4"/>
      <name val="Arial"/>
      <family val="2"/>
    </font>
    <font>
      <sz val="11"/>
      <color theme="1"/>
      <name val="Calibri"/>
      <family val="2"/>
    </font>
    <font>
      <b/>
      <sz val="10"/>
      <color rgb="FF3C404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8F0FE"/>
        <bgColor rgb="FFE8F0FE"/>
      </patternFill>
    </fill>
    <fill>
      <patternFill patternType="solid">
        <fgColor rgb="FFFFFF00"/>
        <bgColor rgb="FFFFFF00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3" fillId="0" borderId="5" xfId="0" applyFont="1" applyBorder="1" applyAlignment="1"/>
    <xf numFmtId="0" fontId="5" fillId="0" borderId="5" xfId="0" applyFont="1" applyBorder="1" applyAlignment="1"/>
    <xf numFmtId="0" fontId="3" fillId="0" borderId="5" xfId="0" applyFont="1" applyBorder="1" applyAlignment="1"/>
    <xf numFmtId="1" fontId="3" fillId="0" borderId="5" xfId="0" applyNumberFormat="1" applyFont="1" applyBorder="1" applyAlignment="1"/>
    <xf numFmtId="0" fontId="3" fillId="0" borderId="0" xfId="0" applyFont="1" applyAlignment="1"/>
    <xf numFmtId="0" fontId="6" fillId="0" borderId="5" xfId="0" applyFont="1" applyBorder="1" applyAlignment="1"/>
    <xf numFmtId="0" fontId="4" fillId="0" borderId="5" xfId="0" applyFont="1" applyBorder="1" applyAlignment="1"/>
    <xf numFmtId="0" fontId="4" fillId="0" borderId="5" xfId="0" applyFont="1" applyBorder="1" applyAlignment="1"/>
    <xf numFmtId="0" fontId="6" fillId="0" borderId="5" xfId="0" applyFont="1" applyBorder="1" applyAlignment="1"/>
    <xf numFmtId="0" fontId="3" fillId="2" borderId="1" xfId="0" applyFont="1" applyFill="1" applyBorder="1" applyAlignment="1"/>
    <xf numFmtId="0" fontId="6" fillId="2" borderId="1" xfId="0" applyFont="1" applyFill="1" applyBorder="1" applyAlignment="1"/>
    <xf numFmtId="0" fontId="5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1" fontId="3" fillId="0" borderId="1" xfId="0" applyNumberFormat="1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1" fontId="3" fillId="0" borderId="14" xfId="0" applyNumberFormat="1" applyFont="1" applyBorder="1" applyAlignment="1">
      <alignment horizontal="right"/>
    </xf>
    <xf numFmtId="1" fontId="3" fillId="0" borderId="5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1" fontId="3" fillId="0" borderId="0" xfId="0" applyNumberFormat="1" applyFont="1" applyAlignment="1"/>
    <xf numFmtId="0" fontId="3" fillId="0" borderId="0" xfId="0" applyFont="1"/>
    <xf numFmtId="0" fontId="8" fillId="0" borderId="9" xfId="0" applyFont="1" applyBorder="1" applyAlignment="1"/>
    <xf numFmtId="0" fontId="5" fillId="0" borderId="11" xfId="0" applyFont="1" applyBorder="1" applyAlignment="1">
      <alignment horizontal="right"/>
    </xf>
    <xf numFmtId="0" fontId="8" fillId="0" borderId="11" xfId="0" applyFont="1" applyBorder="1" applyAlignment="1">
      <alignment horizontal="right"/>
    </xf>
    <xf numFmtId="0" fontId="3" fillId="0" borderId="5" xfId="0" applyFont="1" applyBorder="1" applyAlignment="1"/>
    <xf numFmtId="0" fontId="3" fillId="0" borderId="0" xfId="0" applyFont="1" applyAlignment="1"/>
    <xf numFmtId="0" fontId="4" fillId="0" borderId="9" xfId="0" applyFont="1" applyBorder="1" applyAlignment="1"/>
    <xf numFmtId="0" fontId="4" fillId="0" borderId="9" xfId="0" applyFont="1" applyBorder="1" applyAlignment="1"/>
    <xf numFmtId="0" fontId="5" fillId="0" borderId="5" xfId="0" applyFont="1" applyBorder="1" applyAlignment="1">
      <alignment horizontal="right"/>
    </xf>
    <xf numFmtId="0" fontId="3" fillId="2" borderId="5" xfId="0" applyFont="1" applyFill="1" applyBorder="1" applyAlignment="1"/>
    <xf numFmtId="0" fontId="6" fillId="2" borderId="5" xfId="0" applyFont="1" applyFill="1" applyBorder="1" applyAlignment="1"/>
    <xf numFmtId="0" fontId="4" fillId="2" borderId="9" xfId="0" applyFont="1" applyFill="1" applyBorder="1" applyAlignment="1"/>
    <xf numFmtId="164" fontId="3" fillId="0" borderId="5" xfId="0" applyNumberFormat="1" applyFont="1" applyBorder="1" applyAlignment="1"/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8" fillId="0" borderId="5" xfId="0" applyFont="1" applyBorder="1" applyAlignment="1">
      <alignment horizontal="right"/>
    </xf>
    <xf numFmtId="164" fontId="3" fillId="0" borderId="0" xfId="0" applyNumberFormat="1" applyFont="1"/>
    <xf numFmtId="0" fontId="3" fillId="0" borderId="0" xfId="0" applyFont="1" applyAlignment="1"/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left" wrapText="1"/>
    </xf>
    <xf numFmtId="0" fontId="9" fillId="0" borderId="5" xfId="0" applyFont="1" applyBorder="1" applyAlignment="1">
      <alignment horizontal="left" wrapText="1"/>
    </xf>
    <xf numFmtId="0" fontId="9" fillId="0" borderId="9" xfId="0" applyFont="1" applyBorder="1" applyAlignment="1">
      <alignment horizontal="left" wrapText="1"/>
    </xf>
    <xf numFmtId="2" fontId="3" fillId="0" borderId="0" xfId="0" applyNumberFormat="1" applyFont="1"/>
    <xf numFmtId="0" fontId="3" fillId="0" borderId="5" xfId="0" applyFont="1" applyBorder="1"/>
    <xf numFmtId="0" fontId="2" fillId="0" borderId="5" xfId="0" applyFont="1" applyBorder="1" applyAlignment="1"/>
    <xf numFmtId="2" fontId="3" fillId="0" borderId="5" xfId="0" applyNumberFormat="1" applyFont="1" applyBorder="1"/>
    <xf numFmtId="2" fontId="3" fillId="3" borderId="5" xfId="0" applyNumberFormat="1" applyFont="1" applyFill="1" applyBorder="1"/>
    <xf numFmtId="0" fontId="3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0" fillId="0" borderId="5" xfId="0" applyFont="1" applyBorder="1"/>
    <xf numFmtId="1" fontId="3" fillId="0" borderId="5" xfId="0" applyNumberFormat="1" applyFont="1" applyBorder="1"/>
    <xf numFmtId="0" fontId="4" fillId="0" borderId="9" xfId="0" applyFont="1" applyBorder="1" applyAlignment="1">
      <alignment horizontal="right"/>
    </xf>
    <xf numFmtId="0" fontId="3" fillId="0" borderId="9" xfId="0" applyFont="1" applyBorder="1" applyAlignment="1"/>
    <xf numFmtId="0" fontId="5" fillId="0" borderId="9" xfId="0" applyFont="1" applyBorder="1" applyAlignment="1"/>
    <xf numFmtId="0" fontId="3" fillId="0" borderId="9" xfId="0" applyFont="1" applyBorder="1" applyAlignment="1"/>
    <xf numFmtId="1" fontId="3" fillId="0" borderId="9" xfId="0" applyNumberFormat="1" applyFont="1" applyBorder="1" applyAlignment="1"/>
    <xf numFmtId="0" fontId="3" fillId="2" borderId="16" xfId="0" applyFont="1" applyFill="1" applyBorder="1" applyAlignment="1"/>
    <xf numFmtId="0" fontId="6" fillId="2" borderId="16" xfId="0" applyFont="1" applyFill="1" applyBorder="1" applyAlignment="1"/>
    <xf numFmtId="0" fontId="3" fillId="0" borderId="16" xfId="0" applyFont="1" applyBorder="1" applyAlignment="1"/>
    <xf numFmtId="0" fontId="7" fillId="4" borderId="0" xfId="0" applyFont="1" applyFill="1" applyAlignment="1">
      <alignment horizontal="center"/>
    </xf>
    <xf numFmtId="0" fontId="8" fillId="4" borderId="0" xfId="0" applyFont="1" applyFill="1" applyAlignment="1">
      <alignment horizontal="center"/>
    </xf>
    <xf numFmtId="0" fontId="8" fillId="4" borderId="0" xfId="0" applyFont="1" applyFill="1"/>
    <xf numFmtId="0" fontId="5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0" fontId="3" fillId="0" borderId="18" xfId="0" applyFont="1" applyBorder="1" applyAlignment="1"/>
    <xf numFmtId="0" fontId="4" fillId="0" borderId="18" xfId="0" applyFont="1" applyBorder="1" applyAlignment="1">
      <alignment horizontal="right"/>
    </xf>
    <xf numFmtId="2" fontId="3" fillId="0" borderId="18" xfId="0" applyNumberFormat="1" applyFont="1" applyBorder="1"/>
    <xf numFmtId="0" fontId="6" fillId="0" borderId="18" xfId="0" applyFont="1" applyBorder="1" applyAlignment="1"/>
    <xf numFmtId="0" fontId="4" fillId="0" borderId="18" xfId="0" applyFont="1" applyBorder="1" applyAlignment="1"/>
    <xf numFmtId="0" fontId="3" fillId="2" borderId="18" xfId="0" applyFont="1" applyFill="1" applyBorder="1" applyAlignment="1"/>
    <xf numFmtId="0" fontId="6" fillId="2" borderId="18" xfId="0" applyFont="1" applyFill="1" applyBorder="1" applyAlignment="1"/>
    <xf numFmtId="0" fontId="0" fillId="0" borderId="0" xfId="0" applyFont="1" applyAlignment="1"/>
    <xf numFmtId="1" fontId="3" fillId="0" borderId="0" xfId="0" applyNumberFormat="1" applyFont="1"/>
    <xf numFmtId="0" fontId="0" fillId="0" borderId="0" xfId="0" applyFont="1" applyAlignment="1"/>
    <xf numFmtId="0" fontId="3" fillId="0" borderId="6" xfId="0" applyFont="1" applyFill="1" applyBorder="1" applyAlignment="1"/>
    <xf numFmtId="0" fontId="7" fillId="0" borderId="0" xfId="0" applyFont="1" applyAlignment="1"/>
    <xf numFmtId="0" fontId="8" fillId="0" borderId="0" xfId="0" applyFont="1" applyAlignment="1"/>
    <xf numFmtId="2" fontId="0" fillId="0" borderId="0" xfId="0" applyNumberFormat="1" applyFont="1" applyAlignment="1"/>
    <xf numFmtId="1" fontId="0" fillId="0" borderId="0" xfId="0" applyNumberFormat="1" applyFont="1" applyAlignment="1"/>
    <xf numFmtId="0" fontId="3" fillId="0" borderId="7" xfId="0" applyFont="1" applyBorder="1" applyAlignment="1">
      <alignment horizontal="right"/>
    </xf>
    <xf numFmtId="0" fontId="2" fillId="0" borderId="8" xfId="0" applyFont="1" applyBorder="1"/>
    <xf numFmtId="0" fontId="3" fillId="0" borderId="7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3" fillId="0" borderId="0" xfId="0" applyFont="1" applyAlignment="1">
      <alignment horizontal="center" vertical="center" wrapText="1"/>
    </xf>
    <xf numFmtId="0" fontId="0" fillId="0" borderId="0" xfId="0" applyFont="1" applyAlignment="1"/>
    <xf numFmtId="0" fontId="3" fillId="0" borderId="2" xfId="0" applyFont="1" applyBorder="1" applyAlignment="1"/>
    <xf numFmtId="0" fontId="2" fillId="0" borderId="4" xfId="0" applyFont="1" applyBorder="1"/>
    <xf numFmtId="0" fontId="1" fillId="0" borderId="12" xfId="0" applyFont="1" applyBorder="1" applyAlignment="1">
      <alignment horizontal="center"/>
    </xf>
    <xf numFmtId="0" fontId="2" fillId="0" borderId="13" xfId="0" applyFont="1" applyBorder="1"/>
    <xf numFmtId="0" fontId="3" fillId="0" borderId="2" xfId="0" applyFont="1" applyBorder="1" applyAlignment="1">
      <alignment horizontal="center"/>
    </xf>
    <xf numFmtId="0" fontId="2" fillId="0" borderId="3" xfId="0" applyFont="1" applyBorder="1"/>
    <xf numFmtId="0" fontId="3" fillId="0" borderId="1" xfId="0" applyFont="1" applyBorder="1" applyAlignment="1">
      <alignment horizontal="center" vertical="center" wrapText="1"/>
    </xf>
    <xf numFmtId="0" fontId="2" fillId="0" borderId="9" xfId="0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/>
    <xf numFmtId="0" fontId="1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8" xfId="0" applyFont="1" applyBorder="1"/>
    <xf numFmtId="0" fontId="3" fillId="0" borderId="18" xfId="0" applyFont="1" applyBorder="1" applyAlignment="1"/>
    <xf numFmtId="0" fontId="0" fillId="0" borderId="18" xfId="0" applyFont="1" applyBorder="1" applyAlignment="1"/>
    <xf numFmtId="0" fontId="3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15" xfId="0" applyFont="1" applyBorder="1"/>
    <xf numFmtId="0" fontId="1" fillId="0" borderId="10" xfId="0" applyFont="1" applyBorder="1" applyAlignment="1">
      <alignment horizontal="center"/>
    </xf>
    <xf numFmtId="0" fontId="2" fillId="0" borderId="17" xfId="0" applyFont="1" applyBorder="1"/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</cellXfs>
  <cellStyles count="1">
    <cellStyle name="Normal" xfId="0" builtinId="0"/>
  </cellStyles>
  <dxfs count="2">
    <dxf>
      <fill>
        <patternFill patternType="none"/>
      </fill>
    </dxf>
    <dxf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id-ID" b="0">
                <a:solidFill>
                  <a:srgbClr val="757575"/>
                </a:solidFill>
                <a:latin typeface="+mn-lt"/>
              </a:rPr>
              <a:t>Pretest and Posttest</a:t>
            </a:r>
          </a:p>
        </c:rich>
      </c:tx>
      <c:overlay val="0"/>
    </c:title>
    <c:autoTitleDeleted val="0"/>
    <c:plotArea>
      <c:layout/>
      <c:radarChart>
        <c:radarStyle val="marker"/>
        <c:varyColors val="1"/>
        <c:ser>
          <c:idx val="0"/>
          <c:order val="0"/>
          <c:tx>
            <c:strRef>
              <c:f>'Data Baru'!$AD$22</c:f>
              <c:strCache>
                <c:ptCount val="1"/>
                <c:pt idx="0">
                  <c:v>Pretest</c:v>
                </c:pt>
              </c:strCache>
            </c:strRef>
          </c:tx>
          <c:spPr>
            <a:ln cmpd="sng">
              <a:solidFill>
                <a:srgbClr val="4285F4"/>
              </a:solidFill>
            </a:ln>
          </c:spPr>
          <c:marker>
            <c:symbol val="none"/>
          </c:marker>
          <c:cat>
            <c:numRef>
              <c:f>'Data Baru'!$AC$23:$AC$26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'Data Baru'!$AD$23:$AD$26</c:f>
              <c:numCache>
                <c:formatCode>0</c:formatCode>
                <c:ptCount val="4"/>
                <c:pt idx="0">
                  <c:v>35.57692307692308</c:v>
                </c:pt>
                <c:pt idx="1">
                  <c:v>76.923076923076934</c:v>
                </c:pt>
                <c:pt idx="2">
                  <c:v>46.153846153846153</c:v>
                </c:pt>
                <c:pt idx="3">
                  <c:v>62.179487179487168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A5-4F04-9CAD-E6E1262CFBFF}"/>
            </c:ext>
          </c:extLst>
        </c:ser>
        <c:ser>
          <c:idx val="1"/>
          <c:order val="1"/>
          <c:tx>
            <c:strRef>
              <c:f>'Data Baru'!$AE$22</c:f>
              <c:strCache>
                <c:ptCount val="1"/>
                <c:pt idx="0">
                  <c:v>Posttest</c:v>
                </c:pt>
              </c:strCache>
            </c:strRef>
          </c:tx>
          <c:spPr>
            <a:ln cmpd="sng">
              <a:solidFill>
                <a:srgbClr val="EA4335"/>
              </a:solidFill>
            </a:ln>
          </c:spPr>
          <c:marker>
            <c:symbol val="none"/>
          </c:marker>
          <c:cat>
            <c:numRef>
              <c:f>'Data Baru'!$AC$23:$AC$26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'Data Baru'!$AE$23:$AE$26</c:f>
              <c:numCache>
                <c:formatCode>0</c:formatCode>
                <c:ptCount val="4"/>
                <c:pt idx="0">
                  <c:v>52.884615384615387</c:v>
                </c:pt>
                <c:pt idx="1">
                  <c:v>100</c:v>
                </c:pt>
                <c:pt idx="2">
                  <c:v>75</c:v>
                </c:pt>
                <c:pt idx="3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A5-4F04-9CAD-E6E1262CFB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9014082"/>
        <c:axId val="89453128"/>
      </c:radarChart>
      <c:catAx>
        <c:axId val="109901408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id-ID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89453128"/>
        <c:crosses val="autoZero"/>
        <c:auto val="1"/>
        <c:lblAlgn val="ctr"/>
        <c:lblOffset val="100"/>
        <c:noMultiLvlLbl val="1"/>
      </c:catAx>
      <c:valAx>
        <c:axId val="8945312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id-ID"/>
              </a:p>
            </c:rich>
          </c:tx>
          <c:overlay val="0"/>
        </c:title>
        <c:numFmt formatCode="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099014082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0288845144356957"/>
          <c:y val="0.16465077282006416"/>
          <c:w val="0.42200109361329829"/>
          <c:h val="0.70333515602216379"/>
        </c:manualLayout>
      </c:layout>
      <c:radarChart>
        <c:radarStyle val="marker"/>
        <c:varyColors val="0"/>
        <c:ser>
          <c:idx val="0"/>
          <c:order val="0"/>
          <c:tx>
            <c:strRef>
              <c:f>Sheet1!$E$24</c:f>
              <c:strCache>
                <c:ptCount val="1"/>
                <c:pt idx="0">
                  <c:v>Pretest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Sheet1!$F$23:$I$23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Sheet1!$F$24:$I$24</c:f>
              <c:numCache>
                <c:formatCode>0</c:formatCode>
                <c:ptCount val="4"/>
                <c:pt idx="0">
                  <c:v>37.115384615384613</c:v>
                </c:pt>
                <c:pt idx="1">
                  <c:v>26.53846153846154</c:v>
                </c:pt>
                <c:pt idx="2">
                  <c:v>71.538461538461533</c:v>
                </c:pt>
                <c:pt idx="3">
                  <c:v>32.692307692307693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53-444B-8D5D-AFD1D5EA2696}"/>
            </c:ext>
          </c:extLst>
        </c:ser>
        <c:ser>
          <c:idx val="1"/>
          <c:order val="1"/>
          <c:tx>
            <c:strRef>
              <c:f>Sheet1!$E$25</c:f>
              <c:strCache>
                <c:ptCount val="1"/>
                <c:pt idx="0">
                  <c:v>Postest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Sheet1!$F$23:$I$23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Sheet1!$F$25:$I$25</c:f>
              <c:numCache>
                <c:formatCode>0</c:formatCode>
                <c:ptCount val="4"/>
                <c:pt idx="0">
                  <c:v>86.34615384615384</c:v>
                </c:pt>
                <c:pt idx="1">
                  <c:v>84.615384615384613</c:v>
                </c:pt>
                <c:pt idx="2">
                  <c:v>86.34615384615384</c:v>
                </c:pt>
                <c:pt idx="3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53-444B-8D5D-AFD1D5EA2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9776448"/>
        <c:axId val="1359768128"/>
      </c:radarChart>
      <c:catAx>
        <c:axId val="1359776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59768128"/>
        <c:crosses val="autoZero"/>
        <c:auto val="1"/>
        <c:lblAlgn val="ctr"/>
        <c:lblOffset val="100"/>
        <c:noMultiLvlLbl val="0"/>
      </c:catAx>
      <c:valAx>
        <c:axId val="1359768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59776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63912445319335087"/>
          <c:y val="0.85231481481481486"/>
          <c:w val="0.35508420822397202"/>
          <c:h val="7.38404053659959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256442</xdr:colOff>
      <xdr:row>18</xdr:row>
      <xdr:rowOff>192331</xdr:rowOff>
    </xdr:from>
    <xdr:ext cx="2848342" cy="2343150"/>
    <xdr:graphicFrame macro="">
      <xdr:nvGraphicFramePr>
        <xdr:cNvPr id="3" name="Chart 1" title="Chart">
          <a:extLst>
            <a:ext uri="{FF2B5EF4-FFF2-40B4-BE49-F238E27FC236}">
              <a16:creationId xmlns:a16="http://schemas.microsoft.com/office/drawing/2014/main" id="{D52A85BD-5F70-40B4-8388-08A2D73FBA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30</xdr:row>
      <xdr:rowOff>19050</xdr:rowOff>
    </xdr:from>
    <xdr:to>
      <xdr:col>15</xdr:col>
      <xdr:colOff>371475</xdr:colOff>
      <xdr:row>47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21"/>
  <sheetViews>
    <sheetView workbookViewId="0">
      <selection sqref="A1:L1"/>
    </sheetView>
  </sheetViews>
  <sheetFormatPr defaultColWidth="14.42578125" defaultRowHeight="15.75" customHeight="1"/>
  <cols>
    <col min="2" max="2" width="28.140625" customWidth="1"/>
    <col min="7" max="7" width="0.42578125" customWidth="1"/>
  </cols>
  <sheetData>
    <row r="1" spans="1:12" ht="12.75">
      <c r="A1" s="105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</row>
    <row r="2" spans="1:12" ht="12.75">
      <c r="A2" s="105" t="s">
        <v>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</row>
    <row r="4" spans="1:12" ht="12.75">
      <c r="A4" s="106" t="s">
        <v>2</v>
      </c>
      <c r="B4" s="106" t="s">
        <v>3</v>
      </c>
      <c r="C4" s="108" t="s">
        <v>4</v>
      </c>
      <c r="D4" s="102"/>
      <c r="E4" s="102"/>
      <c r="F4" s="102"/>
      <c r="G4" s="102"/>
      <c r="H4" s="98"/>
      <c r="I4" s="2"/>
      <c r="J4" s="109" t="s">
        <v>5</v>
      </c>
      <c r="K4" s="110"/>
      <c r="L4" s="110"/>
    </row>
    <row r="5" spans="1:12" ht="12.75">
      <c r="A5" s="107"/>
      <c r="B5" s="107"/>
      <c r="C5" s="103" t="s">
        <v>6</v>
      </c>
      <c r="D5" s="103" t="s">
        <v>7</v>
      </c>
      <c r="E5" s="103" t="s">
        <v>8</v>
      </c>
      <c r="F5" s="92" t="s">
        <v>9</v>
      </c>
      <c r="G5" s="91"/>
      <c r="H5" s="95" t="s">
        <v>10</v>
      </c>
      <c r="I5" s="103" t="s">
        <v>11</v>
      </c>
      <c r="J5" s="107"/>
      <c r="K5" s="96"/>
      <c r="L5" s="96"/>
    </row>
    <row r="6" spans="1:12" ht="33" customHeight="1">
      <c r="A6" s="104"/>
      <c r="B6" s="104"/>
      <c r="C6" s="104"/>
      <c r="D6" s="104"/>
      <c r="E6" s="104"/>
      <c r="F6" s="93"/>
      <c r="G6" s="94"/>
      <c r="H6" s="96"/>
      <c r="I6" s="104"/>
      <c r="J6" s="104"/>
      <c r="K6" s="96"/>
      <c r="L6" s="96"/>
    </row>
    <row r="7" spans="1:12" ht="12.75">
      <c r="A7" s="3">
        <v>20070795027</v>
      </c>
      <c r="B7" s="4" t="s">
        <v>12</v>
      </c>
      <c r="C7" s="5">
        <v>4</v>
      </c>
      <c r="D7" s="6">
        <v>4</v>
      </c>
      <c r="E7" s="6">
        <v>4</v>
      </c>
      <c r="F7" s="97">
        <v>4</v>
      </c>
      <c r="G7" s="98"/>
      <c r="H7" s="6">
        <v>2</v>
      </c>
      <c r="I7" s="6">
        <v>4</v>
      </c>
      <c r="J7" s="7">
        <f t="shared" ref="J7:J19" si="0">SUM(C7:I7)/24*100</f>
        <v>91.666666666666657</v>
      </c>
      <c r="K7" s="8"/>
      <c r="L7" s="8"/>
    </row>
    <row r="8" spans="1:12" ht="12.75">
      <c r="A8" s="3">
        <v>20070795014</v>
      </c>
      <c r="B8" s="9" t="s">
        <v>13</v>
      </c>
      <c r="C8" s="5">
        <v>4</v>
      </c>
      <c r="D8" s="6">
        <v>4</v>
      </c>
      <c r="E8" s="6">
        <v>4</v>
      </c>
      <c r="F8" s="97">
        <v>4</v>
      </c>
      <c r="G8" s="98"/>
      <c r="H8" s="6">
        <v>3</v>
      </c>
      <c r="I8" s="6">
        <v>4</v>
      </c>
      <c r="J8" s="7">
        <f t="shared" si="0"/>
        <v>95.833333333333343</v>
      </c>
      <c r="K8" s="8"/>
      <c r="L8" s="8"/>
    </row>
    <row r="9" spans="1:12" ht="12.75">
      <c r="A9" s="3">
        <v>20070795016</v>
      </c>
      <c r="B9" s="10" t="s">
        <v>14</v>
      </c>
      <c r="C9" s="5">
        <v>4</v>
      </c>
      <c r="D9" s="6">
        <v>4</v>
      </c>
      <c r="E9" s="6">
        <v>4</v>
      </c>
      <c r="F9" s="97">
        <v>4</v>
      </c>
      <c r="G9" s="98"/>
      <c r="H9" s="6">
        <v>3</v>
      </c>
      <c r="I9" s="6">
        <v>4</v>
      </c>
      <c r="J9" s="7">
        <f t="shared" si="0"/>
        <v>95.833333333333343</v>
      </c>
      <c r="K9" s="8"/>
      <c r="L9" s="8"/>
    </row>
    <row r="10" spans="1:12" ht="12.75">
      <c r="A10" s="3">
        <v>20070795023</v>
      </c>
      <c r="B10" s="9" t="s">
        <v>15</v>
      </c>
      <c r="C10" s="5">
        <v>4</v>
      </c>
      <c r="D10" s="6">
        <v>4</v>
      </c>
      <c r="E10" s="6">
        <v>4</v>
      </c>
      <c r="F10" s="97">
        <v>4</v>
      </c>
      <c r="G10" s="98"/>
      <c r="H10" s="6">
        <v>3</v>
      </c>
      <c r="I10" s="6">
        <v>4</v>
      </c>
      <c r="J10" s="7">
        <f t="shared" si="0"/>
        <v>95.833333333333343</v>
      </c>
      <c r="K10" s="8"/>
      <c r="L10" s="8"/>
    </row>
    <row r="11" spans="1:12" ht="12.75">
      <c r="A11" s="3">
        <v>20070795012</v>
      </c>
      <c r="B11" s="9" t="s">
        <v>16</v>
      </c>
      <c r="C11" s="5">
        <v>4</v>
      </c>
      <c r="D11" s="6">
        <v>4</v>
      </c>
      <c r="E11" s="6">
        <v>4</v>
      </c>
      <c r="F11" s="97">
        <v>4</v>
      </c>
      <c r="G11" s="98"/>
      <c r="H11" s="6">
        <v>3</v>
      </c>
      <c r="I11" s="6">
        <v>4</v>
      </c>
      <c r="J11" s="7">
        <f t="shared" si="0"/>
        <v>95.833333333333343</v>
      </c>
      <c r="K11" s="8"/>
      <c r="L11" s="8"/>
    </row>
    <row r="12" spans="1:12" ht="12.75">
      <c r="A12" s="11">
        <v>20070795009</v>
      </c>
      <c r="B12" s="12" t="s">
        <v>17</v>
      </c>
      <c r="C12" s="5">
        <v>4</v>
      </c>
      <c r="D12" s="6">
        <v>4</v>
      </c>
      <c r="E12" s="6">
        <v>4</v>
      </c>
      <c r="F12" s="97">
        <v>4</v>
      </c>
      <c r="G12" s="98"/>
      <c r="H12" s="6">
        <v>2</v>
      </c>
      <c r="I12" s="6">
        <v>4</v>
      </c>
      <c r="J12" s="7">
        <f t="shared" si="0"/>
        <v>91.666666666666657</v>
      </c>
      <c r="K12" s="8"/>
      <c r="L12" s="8"/>
    </row>
    <row r="13" spans="1:12" ht="12.75">
      <c r="A13" s="3">
        <v>20070795025</v>
      </c>
      <c r="B13" s="12" t="s">
        <v>18</v>
      </c>
      <c r="C13" s="5">
        <v>4</v>
      </c>
      <c r="D13" s="6">
        <v>4</v>
      </c>
      <c r="E13" s="6">
        <v>4</v>
      </c>
      <c r="F13" s="97">
        <v>4</v>
      </c>
      <c r="G13" s="98"/>
      <c r="H13" s="6">
        <v>3</v>
      </c>
      <c r="I13" s="6">
        <v>4</v>
      </c>
      <c r="J13" s="7">
        <f t="shared" si="0"/>
        <v>95.833333333333343</v>
      </c>
      <c r="K13" s="8"/>
      <c r="L13" s="8"/>
    </row>
    <row r="14" spans="1:12" ht="12.75">
      <c r="A14" s="3">
        <v>20070795011</v>
      </c>
      <c r="B14" s="9" t="s">
        <v>19</v>
      </c>
      <c r="C14" s="5">
        <v>4</v>
      </c>
      <c r="D14" s="6">
        <v>4</v>
      </c>
      <c r="E14" s="6">
        <v>4</v>
      </c>
      <c r="F14" s="97">
        <v>4</v>
      </c>
      <c r="G14" s="98"/>
      <c r="H14" s="6">
        <v>2</v>
      </c>
      <c r="I14" s="6">
        <v>4</v>
      </c>
      <c r="J14" s="7">
        <f t="shared" si="0"/>
        <v>91.666666666666657</v>
      </c>
      <c r="K14" s="8"/>
      <c r="L14" s="8"/>
    </row>
    <row r="15" spans="1:12" ht="12.75">
      <c r="A15" s="3">
        <v>20070795007</v>
      </c>
      <c r="B15" s="11" t="s">
        <v>20</v>
      </c>
      <c r="C15" s="5">
        <v>4</v>
      </c>
      <c r="D15" s="6">
        <v>4</v>
      </c>
      <c r="E15" s="6">
        <v>4</v>
      </c>
      <c r="F15" s="97">
        <v>4</v>
      </c>
      <c r="G15" s="98"/>
      <c r="H15" s="6">
        <v>3</v>
      </c>
      <c r="I15" s="6">
        <v>4</v>
      </c>
      <c r="J15" s="7">
        <f t="shared" si="0"/>
        <v>95.833333333333343</v>
      </c>
      <c r="K15" s="8"/>
      <c r="L15" s="8"/>
    </row>
    <row r="16" spans="1:12" ht="12.75">
      <c r="A16" s="3">
        <v>20070795026</v>
      </c>
      <c r="B16" s="9" t="s">
        <v>21</v>
      </c>
      <c r="C16" s="5">
        <v>4</v>
      </c>
      <c r="D16" s="6">
        <v>4</v>
      </c>
      <c r="E16" s="6">
        <v>4</v>
      </c>
      <c r="F16" s="97">
        <v>4</v>
      </c>
      <c r="G16" s="98"/>
      <c r="H16" s="6">
        <v>3</v>
      </c>
      <c r="I16" s="6">
        <v>4</v>
      </c>
      <c r="J16" s="7">
        <f t="shared" si="0"/>
        <v>95.833333333333343</v>
      </c>
      <c r="K16" s="8"/>
      <c r="L16" s="8"/>
    </row>
    <row r="17" spans="1:12" ht="12.75">
      <c r="A17" s="3">
        <v>20070795010</v>
      </c>
      <c r="B17" s="9" t="s">
        <v>22</v>
      </c>
      <c r="C17" s="5">
        <v>4</v>
      </c>
      <c r="D17" s="6">
        <v>4</v>
      </c>
      <c r="E17" s="6">
        <v>4</v>
      </c>
      <c r="F17" s="97">
        <v>4</v>
      </c>
      <c r="G17" s="98"/>
      <c r="H17" s="6">
        <v>3</v>
      </c>
      <c r="I17" s="6">
        <v>4</v>
      </c>
      <c r="J17" s="7">
        <f t="shared" si="0"/>
        <v>95.833333333333343</v>
      </c>
      <c r="K17" s="8"/>
      <c r="L17" s="8"/>
    </row>
    <row r="18" spans="1:12" ht="12.75">
      <c r="A18" s="3">
        <v>20070795013</v>
      </c>
      <c r="B18" s="9" t="s">
        <v>23</v>
      </c>
      <c r="C18" s="5">
        <v>4</v>
      </c>
      <c r="D18" s="6">
        <v>4</v>
      </c>
      <c r="E18" s="6">
        <v>4</v>
      </c>
      <c r="F18" s="97">
        <v>4</v>
      </c>
      <c r="G18" s="98"/>
      <c r="H18" s="6">
        <v>3</v>
      </c>
      <c r="I18" s="6">
        <v>4</v>
      </c>
      <c r="J18" s="7">
        <f t="shared" si="0"/>
        <v>95.833333333333343</v>
      </c>
      <c r="K18" s="8"/>
      <c r="L18" s="8"/>
    </row>
    <row r="19" spans="1:12" ht="12.75">
      <c r="A19" s="13">
        <v>20070795017</v>
      </c>
      <c r="B19" s="14" t="s">
        <v>24</v>
      </c>
      <c r="C19" s="15">
        <v>4</v>
      </c>
      <c r="D19" s="16">
        <v>4</v>
      </c>
      <c r="E19" s="16">
        <v>4</v>
      </c>
      <c r="F19" s="90">
        <v>4</v>
      </c>
      <c r="G19" s="91"/>
      <c r="H19" s="16">
        <v>3</v>
      </c>
      <c r="I19" s="16">
        <v>4</v>
      </c>
      <c r="J19" s="17">
        <f t="shared" si="0"/>
        <v>95.833333333333343</v>
      </c>
      <c r="K19" s="8"/>
      <c r="L19" s="8"/>
    </row>
    <row r="20" spans="1:12" ht="12.75">
      <c r="A20" s="99" t="s">
        <v>25</v>
      </c>
      <c r="B20" s="100"/>
      <c r="C20" s="18">
        <f t="shared" ref="C20:F20" si="1">SUM(C7:C19)</f>
        <v>52</v>
      </c>
      <c r="D20" s="18">
        <f t="shared" si="1"/>
        <v>52</v>
      </c>
      <c r="E20" s="18">
        <f t="shared" si="1"/>
        <v>52</v>
      </c>
      <c r="F20" s="18">
        <f t="shared" si="1"/>
        <v>52</v>
      </c>
      <c r="G20" s="18"/>
      <c r="H20" s="18">
        <f t="shared" ref="H20:J20" si="2">SUM(H7:H19)</f>
        <v>36</v>
      </c>
      <c r="I20" s="18">
        <f t="shared" si="2"/>
        <v>52</v>
      </c>
      <c r="J20" s="19">
        <f t="shared" si="2"/>
        <v>1233.3333333333333</v>
      </c>
      <c r="K20" s="8"/>
      <c r="L20" s="8"/>
    </row>
    <row r="21" spans="1:12" ht="12.75">
      <c r="A21" s="101" t="s">
        <v>26</v>
      </c>
      <c r="B21" s="102"/>
      <c r="C21" s="20">
        <f t="shared" ref="C21:F21" si="3">C20/13</f>
        <v>4</v>
      </c>
      <c r="D21" s="20">
        <f t="shared" si="3"/>
        <v>4</v>
      </c>
      <c r="E21" s="20">
        <f t="shared" si="3"/>
        <v>4</v>
      </c>
      <c r="F21" s="20">
        <f t="shared" si="3"/>
        <v>4</v>
      </c>
      <c r="G21" s="20"/>
      <c r="H21" s="20">
        <f t="shared" ref="H21:J21" si="4">H20/13</f>
        <v>2.7692307692307692</v>
      </c>
      <c r="I21" s="20">
        <f t="shared" si="4"/>
        <v>4</v>
      </c>
      <c r="J21" s="20">
        <f t="shared" si="4"/>
        <v>94.871794871794862</v>
      </c>
    </row>
  </sheetData>
  <mergeCells count="29">
    <mergeCell ref="A20:B20"/>
    <mergeCell ref="A21:B21"/>
    <mergeCell ref="D5:D6"/>
    <mergeCell ref="E5:E6"/>
    <mergeCell ref="A1:L1"/>
    <mergeCell ref="A2:L2"/>
    <mergeCell ref="A4:A6"/>
    <mergeCell ref="C4:H4"/>
    <mergeCell ref="J4:J6"/>
    <mergeCell ref="K4:K6"/>
    <mergeCell ref="L4:L6"/>
    <mergeCell ref="I5:I6"/>
    <mergeCell ref="B4:B6"/>
    <mergeCell ref="C5:C6"/>
    <mergeCell ref="F17:G17"/>
    <mergeCell ref="F18:G18"/>
    <mergeCell ref="F19:G19"/>
    <mergeCell ref="F5:G6"/>
    <mergeCell ref="H5:H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D37"/>
  <sheetViews>
    <sheetView workbookViewId="0">
      <selection sqref="A1:AE1"/>
    </sheetView>
  </sheetViews>
  <sheetFormatPr defaultColWidth="14.42578125" defaultRowHeight="15.75" customHeight="1"/>
  <cols>
    <col min="2" max="2" width="33.42578125" customWidth="1"/>
    <col min="3" max="12" width="7.28515625" customWidth="1"/>
    <col min="13" max="13" width="15.42578125" customWidth="1"/>
    <col min="14" max="14" width="14.28515625" customWidth="1"/>
    <col min="15" max="30" width="7.28515625" customWidth="1"/>
    <col min="31" max="31" width="15.85546875" customWidth="1"/>
    <col min="32" max="32" width="7.28515625" customWidth="1"/>
    <col min="33" max="33" width="16" customWidth="1"/>
    <col min="34" max="37" width="7.28515625" customWidth="1"/>
  </cols>
  <sheetData>
    <row r="1" spans="1:56">
      <c r="A1" s="105" t="s">
        <v>27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1"/>
      <c r="AG1" s="1"/>
      <c r="AH1" s="1"/>
      <c r="AI1" s="1"/>
      <c r="AJ1" s="1"/>
      <c r="AK1" s="1"/>
    </row>
    <row r="2" spans="1:56">
      <c r="A2" s="105" t="s">
        <v>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1"/>
      <c r="AG2" s="1"/>
      <c r="AH2" s="1"/>
      <c r="AI2" s="1"/>
      <c r="AJ2" s="1"/>
      <c r="AK2" s="1"/>
    </row>
    <row r="4" spans="1:56">
      <c r="A4" s="106" t="s">
        <v>2</v>
      </c>
      <c r="B4" s="106" t="s">
        <v>3</v>
      </c>
      <c r="C4" s="108" t="s">
        <v>28</v>
      </c>
      <c r="D4" s="102"/>
      <c r="E4" s="102"/>
      <c r="F4" s="102"/>
      <c r="G4" s="102"/>
      <c r="H4" s="102"/>
      <c r="I4" s="102"/>
      <c r="J4" s="102"/>
      <c r="K4" s="98"/>
      <c r="L4" s="108" t="s">
        <v>29</v>
      </c>
      <c r="M4" s="98"/>
      <c r="N4" s="2" t="s">
        <v>30</v>
      </c>
      <c r="O4" s="108" t="s">
        <v>31</v>
      </c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98"/>
      <c r="AE4" s="106" t="s">
        <v>5</v>
      </c>
      <c r="AF4" s="110"/>
      <c r="AH4" s="21"/>
      <c r="AI4" s="110"/>
      <c r="AJ4" s="111" t="s">
        <v>3</v>
      </c>
      <c r="AK4" s="112" t="s">
        <v>32</v>
      </c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98"/>
      <c r="BD4" s="111" t="s">
        <v>5</v>
      </c>
    </row>
    <row r="5" spans="1:56">
      <c r="A5" s="107"/>
      <c r="B5" s="107"/>
      <c r="C5" s="109">
        <v>1</v>
      </c>
      <c r="D5" s="115">
        <v>5</v>
      </c>
      <c r="E5" s="102"/>
      <c r="F5" s="102"/>
      <c r="G5" s="102"/>
      <c r="H5" s="102"/>
      <c r="I5" s="102"/>
      <c r="J5" s="102"/>
      <c r="K5" s="98"/>
      <c r="L5" s="109">
        <v>2</v>
      </c>
      <c r="M5" s="109" t="s">
        <v>33</v>
      </c>
      <c r="N5" s="109">
        <v>3</v>
      </c>
      <c r="O5" s="109">
        <v>4</v>
      </c>
      <c r="P5" s="115">
        <v>5</v>
      </c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98"/>
      <c r="AE5" s="107"/>
      <c r="AF5" s="96"/>
      <c r="AH5" s="110"/>
      <c r="AI5" s="96"/>
      <c r="AJ5" s="107"/>
      <c r="AK5" s="114">
        <v>1</v>
      </c>
      <c r="AL5" s="114">
        <v>2</v>
      </c>
      <c r="AM5" s="114">
        <v>3</v>
      </c>
      <c r="AN5" s="114">
        <v>4</v>
      </c>
      <c r="AO5" s="113">
        <v>5</v>
      </c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98"/>
      <c r="BD5" s="107"/>
    </row>
    <row r="6" spans="1:56">
      <c r="A6" s="104"/>
      <c r="B6" s="104"/>
      <c r="C6" s="104"/>
      <c r="D6" s="22" t="s">
        <v>34</v>
      </c>
      <c r="E6" s="22" t="s">
        <v>35</v>
      </c>
      <c r="F6" s="22" t="s">
        <v>36</v>
      </c>
      <c r="G6" s="22" t="s">
        <v>37</v>
      </c>
      <c r="H6" s="22" t="s">
        <v>38</v>
      </c>
      <c r="I6" s="22" t="s">
        <v>39</v>
      </c>
      <c r="J6" s="22" t="s">
        <v>40</v>
      </c>
      <c r="K6" s="22" t="s">
        <v>41</v>
      </c>
      <c r="L6" s="104"/>
      <c r="M6" s="104"/>
      <c r="N6" s="104"/>
      <c r="O6" s="104"/>
      <c r="P6" s="22" t="s">
        <v>42</v>
      </c>
      <c r="Q6" s="22" t="s">
        <v>34</v>
      </c>
      <c r="R6" s="22" t="s">
        <v>35</v>
      </c>
      <c r="S6" s="22" t="s">
        <v>43</v>
      </c>
      <c r="T6" s="22" t="s">
        <v>36</v>
      </c>
      <c r="U6" s="22" t="s">
        <v>37</v>
      </c>
      <c r="V6" s="22" t="s">
        <v>38</v>
      </c>
      <c r="W6" s="22" t="s">
        <v>39</v>
      </c>
      <c r="X6" s="22" t="s">
        <v>40</v>
      </c>
      <c r="Y6" s="22" t="s">
        <v>44</v>
      </c>
      <c r="Z6" s="22" t="s">
        <v>45</v>
      </c>
      <c r="AA6" s="22" t="s">
        <v>46</v>
      </c>
      <c r="AB6" s="22" t="s">
        <v>47</v>
      </c>
      <c r="AC6" s="22" t="s">
        <v>48</v>
      </c>
      <c r="AD6" s="22" t="s">
        <v>41</v>
      </c>
      <c r="AE6" s="104"/>
      <c r="AF6" s="96"/>
      <c r="AH6" s="96"/>
      <c r="AI6" s="96"/>
      <c r="AJ6" s="104"/>
      <c r="AK6" s="104"/>
      <c r="AL6" s="104"/>
      <c r="AM6" s="104"/>
      <c r="AN6" s="104"/>
      <c r="AO6" s="23" t="s">
        <v>42</v>
      </c>
      <c r="AP6" s="23" t="s">
        <v>34</v>
      </c>
      <c r="AQ6" s="23" t="s">
        <v>35</v>
      </c>
      <c r="AR6" s="23" t="s">
        <v>43</v>
      </c>
      <c r="AS6" s="23" t="s">
        <v>36</v>
      </c>
      <c r="AT6" s="23" t="s">
        <v>37</v>
      </c>
      <c r="AU6" s="23" t="s">
        <v>38</v>
      </c>
      <c r="AV6" s="23" t="s">
        <v>39</v>
      </c>
      <c r="AW6" s="23" t="s">
        <v>40</v>
      </c>
      <c r="AX6" s="23" t="s">
        <v>44</v>
      </c>
      <c r="AY6" s="23" t="s">
        <v>45</v>
      </c>
      <c r="AZ6" s="23" t="s">
        <v>46</v>
      </c>
      <c r="BA6" s="23" t="s">
        <v>47</v>
      </c>
      <c r="BB6" s="23" t="s">
        <v>48</v>
      </c>
      <c r="BC6" s="23" t="s">
        <v>41</v>
      </c>
      <c r="BD6" s="104"/>
    </row>
    <row r="7" spans="1:56">
      <c r="A7" s="3">
        <v>20070795027</v>
      </c>
      <c r="B7" s="4" t="s">
        <v>12</v>
      </c>
      <c r="C7" s="5">
        <v>1</v>
      </c>
      <c r="D7" s="5">
        <f t="shared" ref="D7:E7" si="0">Q7</f>
        <v>4</v>
      </c>
      <c r="E7" s="5">
        <f t="shared" si="0"/>
        <v>2</v>
      </c>
      <c r="F7" s="5">
        <f t="shared" ref="F7:J7" si="1">T7</f>
        <v>4</v>
      </c>
      <c r="G7" s="5">
        <f t="shared" si="1"/>
        <v>1</v>
      </c>
      <c r="H7" s="5">
        <f t="shared" si="1"/>
        <v>4</v>
      </c>
      <c r="I7" s="5">
        <f t="shared" si="1"/>
        <v>3</v>
      </c>
      <c r="J7" s="5">
        <f t="shared" si="1"/>
        <v>3</v>
      </c>
      <c r="K7" s="5">
        <f t="shared" ref="K7:K19" si="2">AD7</f>
        <v>1</v>
      </c>
      <c r="L7" s="6">
        <v>1</v>
      </c>
      <c r="M7" s="6">
        <f>inkuiri!H7</f>
        <v>2</v>
      </c>
      <c r="N7" s="6">
        <v>2</v>
      </c>
      <c r="O7" s="6">
        <v>2</v>
      </c>
      <c r="P7" s="6">
        <f>'Perbaikan UTS'!C6</f>
        <v>4</v>
      </c>
      <c r="Q7" s="6">
        <f>'Perbaikan UTS'!D6</f>
        <v>4</v>
      </c>
      <c r="R7" s="6">
        <f>'Perbaikan UTS'!E6</f>
        <v>2</v>
      </c>
      <c r="S7" s="6">
        <f>'Perbaikan UTS'!F6</f>
        <v>4</v>
      </c>
      <c r="T7" s="6">
        <f>'Perbaikan UTS'!G6</f>
        <v>4</v>
      </c>
      <c r="U7" s="6">
        <f>'Perbaikan UTS'!H6</f>
        <v>1</v>
      </c>
      <c r="V7" s="6">
        <f>'Perbaikan UTS'!I6</f>
        <v>4</v>
      </c>
      <c r="W7" s="6">
        <f>'Perbaikan UTS'!J6</f>
        <v>3</v>
      </c>
      <c r="X7" s="6">
        <f>'Perbaikan UTS'!K6</f>
        <v>3</v>
      </c>
      <c r="Y7" s="6">
        <f>'Perbaikan UTS'!L6</f>
        <v>1</v>
      </c>
      <c r="Z7" s="6">
        <f>'Perbaikan UTS'!M6</f>
        <v>1</v>
      </c>
      <c r="AA7" s="6">
        <f>'Perbaikan UTS'!N6</f>
        <v>3</v>
      </c>
      <c r="AB7" s="6">
        <f>'Perbaikan UTS'!O6</f>
        <v>4</v>
      </c>
      <c r="AC7" s="6">
        <f>'Perbaikan UTS'!P6</f>
        <v>1</v>
      </c>
      <c r="AD7" s="6">
        <f>'Perbaikan UTS'!Q6</f>
        <v>1</v>
      </c>
      <c r="AE7" s="7">
        <f t="shared" ref="AE7:AE19" si="3">(C7+SUM(P7:AD7))/(4*19)*100</f>
        <v>53.94736842105263</v>
      </c>
      <c r="AF7" s="24">
        <f>Pretest!F8</f>
        <v>91.666666666666657</v>
      </c>
      <c r="AG7" s="25">
        <f t="shared" ref="AG7:AG18" si="4">(AE7-AF7)/(100-AF7)</f>
        <v>-4.5263157894736779</v>
      </c>
      <c r="AH7" s="8"/>
      <c r="AJ7" s="26" t="s">
        <v>12</v>
      </c>
      <c r="AK7" s="27">
        <v>1</v>
      </c>
      <c r="AL7" s="28">
        <v>1</v>
      </c>
      <c r="AM7" s="28">
        <v>2</v>
      </c>
      <c r="AN7" s="28">
        <v>2</v>
      </c>
      <c r="AO7" s="28">
        <v>4</v>
      </c>
      <c r="AP7" s="28">
        <v>4</v>
      </c>
      <c r="AQ7" s="28">
        <v>2</v>
      </c>
      <c r="AR7" s="28">
        <v>4</v>
      </c>
      <c r="AS7" s="28">
        <v>4</v>
      </c>
      <c r="AT7" s="28">
        <v>1</v>
      </c>
      <c r="AU7" s="28">
        <v>4</v>
      </c>
      <c r="AV7" s="28">
        <v>3</v>
      </c>
      <c r="AW7" s="28">
        <v>3</v>
      </c>
      <c r="AX7" s="28">
        <v>1</v>
      </c>
      <c r="AY7" s="28">
        <v>1</v>
      </c>
      <c r="AZ7" s="28">
        <v>3</v>
      </c>
      <c r="BA7" s="28">
        <v>4</v>
      </c>
      <c r="BB7" s="28">
        <v>1</v>
      </c>
      <c r="BC7" s="28">
        <v>1</v>
      </c>
      <c r="BD7" s="28" t="s">
        <v>49</v>
      </c>
    </row>
    <row r="8" spans="1:56">
      <c r="A8" s="3">
        <v>20070795014</v>
      </c>
      <c r="B8" s="9" t="s">
        <v>13</v>
      </c>
      <c r="C8" s="29">
        <v>1</v>
      </c>
      <c r="D8" s="5">
        <f t="shared" ref="D8:E8" si="5">Q8</f>
        <v>4</v>
      </c>
      <c r="E8" s="5">
        <f t="shared" si="5"/>
        <v>1</v>
      </c>
      <c r="F8" s="5">
        <f t="shared" ref="F8:J8" si="6">T8</f>
        <v>4</v>
      </c>
      <c r="G8" s="5">
        <f t="shared" si="6"/>
        <v>2</v>
      </c>
      <c r="H8" s="5">
        <f t="shared" si="6"/>
        <v>4</v>
      </c>
      <c r="I8" s="5">
        <f t="shared" si="6"/>
        <v>4</v>
      </c>
      <c r="J8" s="5">
        <f t="shared" si="6"/>
        <v>3</v>
      </c>
      <c r="K8" s="5">
        <f t="shared" si="2"/>
        <v>2</v>
      </c>
      <c r="L8" s="5">
        <v>2</v>
      </c>
      <c r="M8" s="6">
        <f>inkuiri!H8</f>
        <v>3</v>
      </c>
      <c r="N8" s="6">
        <v>3</v>
      </c>
      <c r="O8" s="6">
        <v>2</v>
      </c>
      <c r="P8" s="6">
        <f>'Perbaikan UTS'!C7</f>
        <v>4</v>
      </c>
      <c r="Q8" s="6">
        <f>'Perbaikan UTS'!D7</f>
        <v>4</v>
      </c>
      <c r="R8" s="6">
        <f>'Perbaikan UTS'!E7</f>
        <v>1</v>
      </c>
      <c r="S8" s="6">
        <f>'Perbaikan UTS'!F7</f>
        <v>1</v>
      </c>
      <c r="T8" s="6">
        <f>'Perbaikan UTS'!G7</f>
        <v>4</v>
      </c>
      <c r="U8" s="6">
        <f>'Perbaikan UTS'!H7</f>
        <v>2</v>
      </c>
      <c r="V8" s="6">
        <f>'Perbaikan UTS'!I7</f>
        <v>4</v>
      </c>
      <c r="W8" s="6">
        <f>'Perbaikan UTS'!J7</f>
        <v>4</v>
      </c>
      <c r="X8" s="6">
        <f>'Perbaikan UTS'!K7</f>
        <v>3</v>
      </c>
      <c r="Y8" s="6">
        <f>'Perbaikan UTS'!L7</f>
        <v>2</v>
      </c>
      <c r="Z8" s="6">
        <f>'Perbaikan UTS'!M7</f>
        <v>1</v>
      </c>
      <c r="AA8" s="6">
        <f>'Perbaikan UTS'!N7</f>
        <v>1</v>
      </c>
      <c r="AB8" s="6">
        <f>'Perbaikan UTS'!O7</f>
        <v>3</v>
      </c>
      <c r="AC8" s="6">
        <f>'Perbaikan UTS'!P7</f>
        <v>1</v>
      </c>
      <c r="AD8" s="6">
        <f>'Perbaikan UTS'!Q7</f>
        <v>2</v>
      </c>
      <c r="AE8" s="7">
        <f t="shared" si="3"/>
        <v>50</v>
      </c>
      <c r="AF8" s="24">
        <f>Pretest!F9</f>
        <v>83.333333333333343</v>
      </c>
      <c r="AG8" s="25">
        <f t="shared" si="4"/>
        <v>-2.0000000000000018</v>
      </c>
      <c r="AH8" s="30"/>
      <c r="AJ8" s="31" t="s">
        <v>13</v>
      </c>
      <c r="AK8" s="28">
        <v>1</v>
      </c>
      <c r="AL8" s="27">
        <v>2</v>
      </c>
      <c r="AM8" s="28">
        <v>3</v>
      </c>
      <c r="AN8" s="28">
        <v>2</v>
      </c>
      <c r="AO8" s="28">
        <v>4</v>
      </c>
      <c r="AP8" s="28">
        <v>4</v>
      </c>
      <c r="AQ8" s="28">
        <v>1</v>
      </c>
      <c r="AR8" s="28">
        <v>1</v>
      </c>
      <c r="AS8" s="28">
        <v>4</v>
      </c>
      <c r="AT8" s="28">
        <v>2</v>
      </c>
      <c r="AU8" s="28">
        <v>4</v>
      </c>
      <c r="AV8" s="28">
        <v>4</v>
      </c>
      <c r="AW8" s="28">
        <v>3</v>
      </c>
      <c r="AX8" s="28">
        <v>2</v>
      </c>
      <c r="AY8" s="28">
        <v>1</v>
      </c>
      <c r="AZ8" s="28">
        <v>1</v>
      </c>
      <c r="BA8" s="28">
        <v>3</v>
      </c>
      <c r="BB8" s="28">
        <v>1</v>
      </c>
      <c r="BC8" s="28">
        <v>2</v>
      </c>
      <c r="BD8" s="28" t="s">
        <v>50</v>
      </c>
    </row>
    <row r="9" spans="1:56">
      <c r="A9" s="3">
        <v>20070795016</v>
      </c>
      <c r="B9" s="10" t="s">
        <v>14</v>
      </c>
      <c r="C9" s="5">
        <v>1</v>
      </c>
      <c r="D9" s="5">
        <f t="shared" ref="D9:E9" si="7">Q9</f>
        <v>3</v>
      </c>
      <c r="E9" s="5">
        <f t="shared" si="7"/>
        <v>1</v>
      </c>
      <c r="F9" s="5">
        <f t="shared" ref="F9:J9" si="8">T9</f>
        <v>4</v>
      </c>
      <c r="G9" s="5">
        <f t="shared" si="8"/>
        <v>2</v>
      </c>
      <c r="H9" s="5">
        <f t="shared" si="8"/>
        <v>4</v>
      </c>
      <c r="I9" s="5">
        <f t="shared" si="8"/>
        <v>4</v>
      </c>
      <c r="J9" s="5">
        <f t="shared" si="8"/>
        <v>3</v>
      </c>
      <c r="K9" s="5">
        <f t="shared" si="2"/>
        <v>2</v>
      </c>
      <c r="L9" s="6">
        <v>2</v>
      </c>
      <c r="M9" s="6">
        <f>inkuiri!H9</f>
        <v>3</v>
      </c>
      <c r="N9" s="6">
        <v>3</v>
      </c>
      <c r="O9" s="6">
        <v>2</v>
      </c>
      <c r="P9" s="6">
        <f>'Perbaikan UTS'!C8</f>
        <v>3</v>
      </c>
      <c r="Q9" s="6">
        <f>'Perbaikan UTS'!D8</f>
        <v>3</v>
      </c>
      <c r="R9" s="6">
        <f>'Perbaikan UTS'!E8</f>
        <v>1</v>
      </c>
      <c r="S9" s="6">
        <f>'Perbaikan UTS'!F8</f>
        <v>4</v>
      </c>
      <c r="T9" s="6">
        <f>'Perbaikan UTS'!G8</f>
        <v>4</v>
      </c>
      <c r="U9" s="6">
        <f>'Perbaikan UTS'!H8</f>
        <v>2</v>
      </c>
      <c r="V9" s="6">
        <f>'Perbaikan UTS'!I8</f>
        <v>4</v>
      </c>
      <c r="W9" s="6">
        <f>'Perbaikan UTS'!J8</f>
        <v>4</v>
      </c>
      <c r="X9" s="6">
        <f>'Perbaikan UTS'!K8</f>
        <v>3</v>
      </c>
      <c r="Y9" s="6">
        <f>'Perbaikan UTS'!L8</f>
        <v>1</v>
      </c>
      <c r="Z9" s="6">
        <f>'Perbaikan UTS'!M8</f>
        <v>3</v>
      </c>
      <c r="AA9" s="6">
        <f>'Perbaikan UTS'!N8</f>
        <v>1</v>
      </c>
      <c r="AB9" s="6">
        <f>'Perbaikan UTS'!O8</f>
        <v>3</v>
      </c>
      <c r="AC9" s="6">
        <f>'Perbaikan UTS'!P8</f>
        <v>4</v>
      </c>
      <c r="AD9" s="6">
        <f>'Perbaikan UTS'!Q8</f>
        <v>2</v>
      </c>
      <c r="AE9" s="7">
        <f t="shared" si="3"/>
        <v>56.578947368421048</v>
      </c>
      <c r="AF9" s="24">
        <f>Pretest!F10</f>
        <v>83.333333333333343</v>
      </c>
      <c r="AG9" s="25">
        <f t="shared" si="4"/>
        <v>-1.6052631578947387</v>
      </c>
      <c r="AH9" s="8"/>
      <c r="AJ9" s="32" t="s">
        <v>14</v>
      </c>
      <c r="AK9" s="27">
        <v>1</v>
      </c>
      <c r="AL9" s="28">
        <v>2</v>
      </c>
      <c r="AM9" s="28">
        <v>3</v>
      </c>
      <c r="AN9" s="28">
        <v>2</v>
      </c>
      <c r="AO9" s="28">
        <v>3</v>
      </c>
      <c r="AP9" s="28">
        <v>3</v>
      </c>
      <c r="AQ9" s="28">
        <v>1</v>
      </c>
      <c r="AR9" s="28">
        <v>4</v>
      </c>
      <c r="AS9" s="28">
        <v>4</v>
      </c>
      <c r="AT9" s="28">
        <v>2</v>
      </c>
      <c r="AU9" s="28">
        <v>4</v>
      </c>
      <c r="AV9" s="28">
        <v>4</v>
      </c>
      <c r="AW9" s="28">
        <v>3</v>
      </c>
      <c r="AX9" s="28">
        <v>1</v>
      </c>
      <c r="AY9" s="28">
        <v>3</v>
      </c>
      <c r="AZ9" s="28">
        <v>1</v>
      </c>
      <c r="BA9" s="28">
        <v>3</v>
      </c>
      <c r="BB9" s="28">
        <v>4</v>
      </c>
      <c r="BC9" s="28">
        <v>2</v>
      </c>
      <c r="BD9" s="28" t="s">
        <v>51</v>
      </c>
    </row>
    <row r="10" spans="1:56">
      <c r="A10" s="3">
        <v>20070795023</v>
      </c>
      <c r="B10" s="9" t="s">
        <v>15</v>
      </c>
      <c r="C10" s="5">
        <v>1</v>
      </c>
      <c r="D10" s="5">
        <f t="shared" ref="D10:E10" si="9">Q10</f>
        <v>3</v>
      </c>
      <c r="E10" s="5">
        <f t="shared" si="9"/>
        <v>3</v>
      </c>
      <c r="F10" s="5">
        <f t="shared" ref="F10:J10" si="10">T10</f>
        <v>1</v>
      </c>
      <c r="G10" s="5">
        <f t="shared" si="10"/>
        <v>1</v>
      </c>
      <c r="H10" s="5">
        <f t="shared" si="10"/>
        <v>3</v>
      </c>
      <c r="I10" s="5">
        <f t="shared" si="10"/>
        <v>4</v>
      </c>
      <c r="J10" s="5">
        <f t="shared" si="10"/>
        <v>3</v>
      </c>
      <c r="K10" s="5">
        <f t="shared" si="2"/>
        <v>3</v>
      </c>
      <c r="L10" s="33">
        <v>1</v>
      </c>
      <c r="M10" s="6">
        <f>inkuiri!H10</f>
        <v>3</v>
      </c>
      <c r="N10" s="6">
        <v>4</v>
      </c>
      <c r="O10" s="6">
        <v>1</v>
      </c>
      <c r="P10" s="6">
        <f>'Perbaikan UTS'!C9</f>
        <v>1</v>
      </c>
      <c r="Q10" s="6">
        <f>'Perbaikan UTS'!D9</f>
        <v>3</v>
      </c>
      <c r="R10" s="6">
        <f>'Perbaikan UTS'!E9</f>
        <v>3</v>
      </c>
      <c r="S10" s="6">
        <f>'Perbaikan UTS'!F9</f>
        <v>3</v>
      </c>
      <c r="T10" s="6">
        <f>'Perbaikan UTS'!G9</f>
        <v>1</v>
      </c>
      <c r="U10" s="6">
        <f>'Perbaikan UTS'!H9</f>
        <v>1</v>
      </c>
      <c r="V10" s="6">
        <f>'Perbaikan UTS'!I9</f>
        <v>3</v>
      </c>
      <c r="W10" s="6">
        <f>'Perbaikan UTS'!J9</f>
        <v>4</v>
      </c>
      <c r="X10" s="6">
        <f>'Perbaikan UTS'!K9</f>
        <v>3</v>
      </c>
      <c r="Y10" s="6">
        <f>'Perbaikan UTS'!L9</f>
        <v>2</v>
      </c>
      <c r="Z10" s="6">
        <f>'Perbaikan UTS'!M9</f>
        <v>3</v>
      </c>
      <c r="AA10" s="6">
        <f>'Perbaikan UTS'!N9</f>
        <v>1</v>
      </c>
      <c r="AB10" s="6">
        <f>'Perbaikan UTS'!O9</f>
        <v>3</v>
      </c>
      <c r="AC10" s="6">
        <f>'Perbaikan UTS'!P9</f>
        <v>3</v>
      </c>
      <c r="AD10" s="6">
        <f>'Perbaikan UTS'!Q9</f>
        <v>3</v>
      </c>
      <c r="AE10" s="7">
        <f t="shared" si="3"/>
        <v>50</v>
      </c>
      <c r="AF10" s="24">
        <f>Pretest!F11</f>
        <v>91.666666666666657</v>
      </c>
      <c r="AG10" s="25">
        <f t="shared" si="4"/>
        <v>-4.9999999999999929</v>
      </c>
      <c r="AH10" s="8"/>
      <c r="AJ10" s="31" t="s">
        <v>15</v>
      </c>
      <c r="AK10" s="27">
        <v>1</v>
      </c>
      <c r="AL10" s="27">
        <v>1</v>
      </c>
      <c r="AM10" s="28">
        <v>4</v>
      </c>
      <c r="AN10" s="28">
        <v>1</v>
      </c>
      <c r="AO10" s="28">
        <v>1</v>
      </c>
      <c r="AP10" s="28">
        <v>3</v>
      </c>
      <c r="AQ10" s="28">
        <v>3</v>
      </c>
      <c r="AR10" s="28">
        <v>3</v>
      </c>
      <c r="AS10" s="28">
        <v>1</v>
      </c>
      <c r="AT10" s="28">
        <v>1</v>
      </c>
      <c r="AU10" s="28">
        <v>3</v>
      </c>
      <c r="AV10" s="28">
        <v>4</v>
      </c>
      <c r="AW10" s="28">
        <v>3</v>
      </c>
      <c r="AX10" s="28">
        <v>2</v>
      </c>
      <c r="AY10" s="28">
        <v>3</v>
      </c>
      <c r="AZ10" s="28">
        <v>1</v>
      </c>
      <c r="BA10" s="28">
        <v>3</v>
      </c>
      <c r="BB10" s="28">
        <v>3</v>
      </c>
      <c r="BC10" s="28">
        <v>3</v>
      </c>
      <c r="BD10" s="28" t="s">
        <v>52</v>
      </c>
    </row>
    <row r="11" spans="1:56">
      <c r="A11" s="3">
        <v>20070795012</v>
      </c>
      <c r="B11" s="9" t="s">
        <v>16</v>
      </c>
      <c r="C11" s="5">
        <v>2</v>
      </c>
      <c r="D11" s="5">
        <f t="shared" ref="D11:E11" si="11">Q11</f>
        <v>4</v>
      </c>
      <c r="E11" s="5">
        <f t="shared" si="11"/>
        <v>4</v>
      </c>
      <c r="F11" s="5">
        <f t="shared" ref="F11:J11" si="12">T11</f>
        <v>4</v>
      </c>
      <c r="G11" s="5">
        <f t="shared" si="12"/>
        <v>1</v>
      </c>
      <c r="H11" s="5">
        <f t="shared" si="12"/>
        <v>3</v>
      </c>
      <c r="I11" s="5">
        <f t="shared" si="12"/>
        <v>4</v>
      </c>
      <c r="J11" s="5">
        <f t="shared" si="12"/>
        <v>3</v>
      </c>
      <c r="K11" s="5">
        <f t="shared" si="2"/>
        <v>2</v>
      </c>
      <c r="L11" s="33">
        <v>2</v>
      </c>
      <c r="M11" s="6">
        <f>inkuiri!H11</f>
        <v>3</v>
      </c>
      <c r="N11" s="6">
        <v>4</v>
      </c>
      <c r="O11" s="6">
        <v>1</v>
      </c>
      <c r="P11" s="6">
        <f>'Perbaikan UTS'!C10</f>
        <v>4</v>
      </c>
      <c r="Q11" s="6">
        <f>'Perbaikan UTS'!D10</f>
        <v>4</v>
      </c>
      <c r="R11" s="6">
        <f>'Perbaikan UTS'!E10</f>
        <v>4</v>
      </c>
      <c r="S11" s="6">
        <f>'Perbaikan UTS'!F10</f>
        <v>4</v>
      </c>
      <c r="T11" s="6">
        <f>'Perbaikan UTS'!G10</f>
        <v>4</v>
      </c>
      <c r="U11" s="6">
        <f>'Perbaikan UTS'!H10</f>
        <v>1</v>
      </c>
      <c r="V11" s="6">
        <f>'Perbaikan UTS'!I10</f>
        <v>3</v>
      </c>
      <c r="W11" s="6">
        <f>'Perbaikan UTS'!J10</f>
        <v>4</v>
      </c>
      <c r="X11" s="6">
        <f>'Perbaikan UTS'!K10</f>
        <v>3</v>
      </c>
      <c r="Y11" s="6">
        <f>'Perbaikan UTS'!L10</f>
        <v>2</v>
      </c>
      <c r="Z11" s="6">
        <f>'Perbaikan UTS'!M10</f>
        <v>2</v>
      </c>
      <c r="AA11" s="6">
        <f>'Perbaikan UTS'!N10</f>
        <v>3</v>
      </c>
      <c r="AB11" s="6">
        <f>'Perbaikan UTS'!O10</f>
        <v>4</v>
      </c>
      <c r="AC11" s="6">
        <f>'Perbaikan UTS'!P10</f>
        <v>4</v>
      </c>
      <c r="AD11" s="6">
        <f>'Perbaikan UTS'!Q10</f>
        <v>2</v>
      </c>
      <c r="AE11" s="7">
        <f t="shared" si="3"/>
        <v>65.789473684210535</v>
      </c>
      <c r="AF11" s="24">
        <f>Pretest!F12</f>
        <v>75</v>
      </c>
      <c r="AG11" s="25">
        <f t="shared" si="4"/>
        <v>-0.36842105263157859</v>
      </c>
      <c r="AH11" s="8"/>
      <c r="AJ11" s="31" t="s">
        <v>16</v>
      </c>
      <c r="AK11" s="27">
        <v>2</v>
      </c>
      <c r="AL11" s="27">
        <v>2</v>
      </c>
      <c r="AM11" s="28">
        <v>4</v>
      </c>
      <c r="AN11" s="28">
        <v>1</v>
      </c>
      <c r="AO11" s="28">
        <v>4</v>
      </c>
      <c r="AP11" s="28">
        <v>4</v>
      </c>
      <c r="AQ11" s="28">
        <v>4</v>
      </c>
      <c r="AR11" s="28">
        <v>4</v>
      </c>
      <c r="AS11" s="28">
        <v>4</v>
      </c>
      <c r="AT11" s="28">
        <v>1</v>
      </c>
      <c r="AU11" s="28">
        <v>3</v>
      </c>
      <c r="AV11" s="28">
        <v>4</v>
      </c>
      <c r="AW11" s="28">
        <v>3</v>
      </c>
      <c r="AX11" s="28">
        <v>2</v>
      </c>
      <c r="AY11" s="28">
        <v>2</v>
      </c>
      <c r="AZ11" s="28">
        <v>3</v>
      </c>
      <c r="BA11" s="28">
        <v>4</v>
      </c>
      <c r="BB11" s="28">
        <v>4</v>
      </c>
      <c r="BC11" s="28">
        <v>2</v>
      </c>
      <c r="BD11" s="28" t="s">
        <v>53</v>
      </c>
    </row>
    <row r="12" spans="1:56">
      <c r="A12" s="11">
        <v>20070795009</v>
      </c>
      <c r="B12" s="12" t="s">
        <v>17</v>
      </c>
      <c r="C12" s="5">
        <v>1</v>
      </c>
      <c r="D12" s="5">
        <f t="shared" ref="D12:E12" si="13">Q12</f>
        <v>1</v>
      </c>
      <c r="E12" s="5">
        <f t="shared" si="13"/>
        <v>1</v>
      </c>
      <c r="F12" s="5">
        <f t="shared" ref="F12:J12" si="14">T12</f>
        <v>3</v>
      </c>
      <c r="G12" s="5">
        <f t="shared" si="14"/>
        <v>1</v>
      </c>
      <c r="H12" s="5">
        <f t="shared" si="14"/>
        <v>1</v>
      </c>
      <c r="I12" s="5">
        <f t="shared" si="14"/>
        <v>1</v>
      </c>
      <c r="J12" s="5">
        <f t="shared" si="14"/>
        <v>1</v>
      </c>
      <c r="K12" s="5">
        <f t="shared" si="2"/>
        <v>3</v>
      </c>
      <c r="L12" s="33">
        <v>1</v>
      </c>
      <c r="M12" s="6">
        <f>inkuiri!H12</f>
        <v>2</v>
      </c>
      <c r="N12" s="6">
        <v>1</v>
      </c>
      <c r="O12" s="6">
        <v>3</v>
      </c>
      <c r="P12" s="6">
        <f>'Perbaikan UTS'!C11</f>
        <v>1</v>
      </c>
      <c r="Q12" s="6">
        <f>'Perbaikan UTS'!D11</f>
        <v>1</v>
      </c>
      <c r="R12" s="6">
        <f>'Perbaikan UTS'!E11</f>
        <v>1</v>
      </c>
      <c r="S12" s="6">
        <f>'Perbaikan UTS'!F11</f>
        <v>1</v>
      </c>
      <c r="T12" s="6">
        <f>'Perbaikan UTS'!G11</f>
        <v>3</v>
      </c>
      <c r="U12" s="6">
        <f>'Perbaikan UTS'!H11</f>
        <v>1</v>
      </c>
      <c r="V12" s="6">
        <f>'Perbaikan UTS'!I11</f>
        <v>1</v>
      </c>
      <c r="W12" s="6">
        <f>'Perbaikan UTS'!J11</f>
        <v>1</v>
      </c>
      <c r="X12" s="6">
        <f>'Perbaikan UTS'!K11</f>
        <v>1</v>
      </c>
      <c r="Y12" s="6">
        <f>'Perbaikan UTS'!L11</f>
        <v>1</v>
      </c>
      <c r="Z12" s="6">
        <f>'Perbaikan UTS'!M11</f>
        <v>1</v>
      </c>
      <c r="AA12" s="6">
        <f>'Perbaikan UTS'!N11</f>
        <v>1</v>
      </c>
      <c r="AB12" s="6">
        <f>'Perbaikan UTS'!O11</f>
        <v>1</v>
      </c>
      <c r="AC12" s="6">
        <f>'Perbaikan UTS'!P11</f>
        <v>1</v>
      </c>
      <c r="AD12" s="6">
        <f>'Perbaikan UTS'!Q11</f>
        <v>3</v>
      </c>
      <c r="AE12" s="7">
        <f t="shared" si="3"/>
        <v>26.315789473684209</v>
      </c>
      <c r="AF12" s="24">
        <f>Pretest!F13</f>
        <v>25</v>
      </c>
      <c r="AG12" s="25">
        <f t="shared" si="4"/>
        <v>1.7543859649122785E-2</v>
      </c>
      <c r="AH12" s="8"/>
      <c r="AJ12" s="31" t="s">
        <v>17</v>
      </c>
      <c r="AK12" s="27">
        <v>1</v>
      </c>
      <c r="AL12" s="27">
        <v>1</v>
      </c>
      <c r="AM12" s="28">
        <v>1</v>
      </c>
      <c r="AN12" s="28">
        <v>3</v>
      </c>
      <c r="AO12" s="28">
        <v>1</v>
      </c>
      <c r="AP12" s="28">
        <v>1</v>
      </c>
      <c r="AQ12" s="28">
        <v>1</v>
      </c>
      <c r="AR12" s="28">
        <v>1</v>
      </c>
      <c r="AS12" s="28">
        <v>3</v>
      </c>
      <c r="AT12" s="28">
        <v>1</v>
      </c>
      <c r="AU12" s="28">
        <v>1</v>
      </c>
      <c r="AV12" s="28">
        <v>1</v>
      </c>
      <c r="AW12" s="28">
        <v>1</v>
      </c>
      <c r="AX12" s="28">
        <v>1</v>
      </c>
      <c r="AY12" s="28">
        <v>1</v>
      </c>
      <c r="AZ12" s="28">
        <v>1</v>
      </c>
      <c r="BA12" s="28">
        <v>1</v>
      </c>
      <c r="BB12" s="28">
        <v>1</v>
      </c>
      <c r="BC12" s="28">
        <v>3</v>
      </c>
      <c r="BD12" s="28" t="s">
        <v>54</v>
      </c>
    </row>
    <row r="13" spans="1:56">
      <c r="A13" s="3">
        <v>20070795025</v>
      </c>
      <c r="B13" s="12" t="s">
        <v>18</v>
      </c>
      <c r="C13" s="5">
        <v>1</v>
      </c>
      <c r="D13" s="5">
        <f t="shared" ref="D13:E13" si="15">Q13</f>
        <v>4</v>
      </c>
      <c r="E13" s="5">
        <f t="shared" si="15"/>
        <v>1</v>
      </c>
      <c r="F13" s="5">
        <f t="shared" ref="F13:J13" si="16">T13</f>
        <v>3</v>
      </c>
      <c r="G13" s="5">
        <f t="shared" si="16"/>
        <v>3</v>
      </c>
      <c r="H13" s="5">
        <f t="shared" si="16"/>
        <v>3</v>
      </c>
      <c r="I13" s="5">
        <f t="shared" si="16"/>
        <v>2</v>
      </c>
      <c r="J13" s="5">
        <f t="shared" si="16"/>
        <v>3</v>
      </c>
      <c r="K13" s="5">
        <f t="shared" si="2"/>
        <v>1</v>
      </c>
      <c r="L13" s="33">
        <v>2</v>
      </c>
      <c r="M13" s="6">
        <f>inkuiri!H13</f>
        <v>3</v>
      </c>
      <c r="N13" s="6">
        <v>4</v>
      </c>
      <c r="O13" s="6">
        <v>1</v>
      </c>
      <c r="P13" s="6">
        <f>'Perbaikan UTS'!C12</f>
        <v>2</v>
      </c>
      <c r="Q13" s="6">
        <f>'Perbaikan UTS'!D12</f>
        <v>4</v>
      </c>
      <c r="R13" s="6">
        <f>'Perbaikan UTS'!E12</f>
        <v>1</v>
      </c>
      <c r="S13" s="6">
        <f>'Perbaikan UTS'!F12</f>
        <v>3</v>
      </c>
      <c r="T13" s="6">
        <f>'Perbaikan UTS'!G12</f>
        <v>3</v>
      </c>
      <c r="U13" s="6">
        <f>'Perbaikan UTS'!H12</f>
        <v>3</v>
      </c>
      <c r="V13" s="6">
        <f>'Perbaikan UTS'!I12</f>
        <v>3</v>
      </c>
      <c r="W13" s="6">
        <f>'Perbaikan UTS'!J12</f>
        <v>2</v>
      </c>
      <c r="X13" s="6">
        <f>'Perbaikan UTS'!K12</f>
        <v>3</v>
      </c>
      <c r="Y13" s="6">
        <f>'Perbaikan UTS'!L12</f>
        <v>2</v>
      </c>
      <c r="Z13" s="6">
        <f>'Perbaikan UTS'!M12</f>
        <v>3</v>
      </c>
      <c r="AA13" s="6">
        <f>'Perbaikan UTS'!N12</f>
        <v>1</v>
      </c>
      <c r="AB13" s="6">
        <f>'Perbaikan UTS'!O12</f>
        <v>1</v>
      </c>
      <c r="AC13" s="6">
        <f>'Perbaikan UTS'!P12</f>
        <v>3</v>
      </c>
      <c r="AD13" s="6">
        <f>'Perbaikan UTS'!Q12</f>
        <v>1</v>
      </c>
      <c r="AE13" s="7">
        <f t="shared" si="3"/>
        <v>47.368421052631575</v>
      </c>
      <c r="AF13" s="24">
        <f>Pretest!F14</f>
        <v>58.333333333333336</v>
      </c>
      <c r="AG13" s="25">
        <f t="shared" si="4"/>
        <v>-0.26315789473684226</v>
      </c>
      <c r="AH13" s="8"/>
      <c r="AJ13" s="31" t="s">
        <v>18</v>
      </c>
      <c r="AK13" s="27">
        <v>1</v>
      </c>
      <c r="AL13" s="27">
        <v>2</v>
      </c>
      <c r="AM13" s="28">
        <v>4</v>
      </c>
      <c r="AN13" s="28">
        <v>1</v>
      </c>
      <c r="AO13" s="28">
        <v>2</v>
      </c>
      <c r="AP13" s="28">
        <v>4</v>
      </c>
      <c r="AQ13" s="28">
        <v>1</v>
      </c>
      <c r="AR13" s="28">
        <v>3</v>
      </c>
      <c r="AS13" s="28">
        <v>3</v>
      </c>
      <c r="AT13" s="28">
        <v>3</v>
      </c>
      <c r="AU13" s="28">
        <v>3</v>
      </c>
      <c r="AV13" s="28">
        <v>2</v>
      </c>
      <c r="AW13" s="28">
        <v>3</v>
      </c>
      <c r="AX13" s="28">
        <v>2</v>
      </c>
      <c r="AY13" s="28">
        <v>3</v>
      </c>
      <c r="AZ13" s="28">
        <v>1</v>
      </c>
      <c r="BA13" s="28">
        <v>1</v>
      </c>
      <c r="BB13" s="28">
        <v>3</v>
      </c>
      <c r="BC13" s="28">
        <v>1</v>
      </c>
      <c r="BD13" s="28" t="s">
        <v>55</v>
      </c>
    </row>
    <row r="14" spans="1:56">
      <c r="A14" s="3">
        <v>20070795011</v>
      </c>
      <c r="B14" s="9" t="s">
        <v>19</v>
      </c>
      <c r="C14" s="5">
        <v>1</v>
      </c>
      <c r="D14" s="5">
        <f t="shared" ref="D14:E14" si="17">Q14</f>
        <v>4</v>
      </c>
      <c r="E14" s="5">
        <f t="shared" si="17"/>
        <v>2</v>
      </c>
      <c r="F14" s="5">
        <f t="shared" ref="F14:J14" si="18">T14</f>
        <v>4</v>
      </c>
      <c r="G14" s="5">
        <f t="shared" si="18"/>
        <v>1</v>
      </c>
      <c r="H14" s="5">
        <f t="shared" si="18"/>
        <v>3</v>
      </c>
      <c r="I14" s="5">
        <f t="shared" si="18"/>
        <v>4</v>
      </c>
      <c r="J14" s="5">
        <f t="shared" si="18"/>
        <v>3</v>
      </c>
      <c r="K14" s="5">
        <f t="shared" si="2"/>
        <v>2</v>
      </c>
      <c r="L14" s="33">
        <v>2</v>
      </c>
      <c r="M14" s="6">
        <f>inkuiri!H14</f>
        <v>2</v>
      </c>
      <c r="N14" s="6">
        <v>4</v>
      </c>
      <c r="O14" s="6">
        <v>2</v>
      </c>
      <c r="P14" s="6">
        <f>'Perbaikan UTS'!C13</f>
        <v>4</v>
      </c>
      <c r="Q14" s="6">
        <f>'Perbaikan UTS'!D13</f>
        <v>4</v>
      </c>
      <c r="R14" s="6">
        <f>'Perbaikan UTS'!E13</f>
        <v>2</v>
      </c>
      <c r="S14" s="6">
        <f>'Perbaikan UTS'!F13</f>
        <v>3</v>
      </c>
      <c r="T14" s="6">
        <f>'Perbaikan UTS'!G13</f>
        <v>4</v>
      </c>
      <c r="U14" s="6">
        <f>'Perbaikan UTS'!H13</f>
        <v>1</v>
      </c>
      <c r="V14" s="6">
        <f>'Perbaikan UTS'!I13</f>
        <v>3</v>
      </c>
      <c r="W14" s="6">
        <f>'Perbaikan UTS'!J13</f>
        <v>4</v>
      </c>
      <c r="X14" s="6">
        <f>'Perbaikan UTS'!K13</f>
        <v>3</v>
      </c>
      <c r="Y14" s="6">
        <f>'Perbaikan UTS'!L13</f>
        <v>1</v>
      </c>
      <c r="Z14" s="6">
        <f>'Perbaikan UTS'!M13</f>
        <v>1</v>
      </c>
      <c r="AA14" s="6">
        <f>'Perbaikan UTS'!N13</f>
        <v>1</v>
      </c>
      <c r="AB14" s="6">
        <f>'Perbaikan UTS'!O13</f>
        <v>3</v>
      </c>
      <c r="AC14" s="6">
        <f>'Perbaikan UTS'!P13</f>
        <v>1</v>
      </c>
      <c r="AD14" s="6">
        <f>'Perbaikan UTS'!Q13</f>
        <v>2</v>
      </c>
      <c r="AE14" s="7">
        <f t="shared" si="3"/>
        <v>50</v>
      </c>
      <c r="AF14" s="24">
        <f>Pretest!F15</f>
        <v>58.333333333333336</v>
      </c>
      <c r="AG14" s="25">
        <f t="shared" si="4"/>
        <v>-0.20000000000000007</v>
      </c>
      <c r="AH14" s="8"/>
      <c r="AJ14" s="31" t="s">
        <v>19</v>
      </c>
      <c r="AK14" s="27">
        <v>1</v>
      </c>
      <c r="AL14" s="27">
        <v>2</v>
      </c>
      <c r="AM14" s="28">
        <v>4</v>
      </c>
      <c r="AN14" s="28">
        <v>2</v>
      </c>
      <c r="AO14" s="28">
        <v>4</v>
      </c>
      <c r="AP14" s="28">
        <v>4</v>
      </c>
      <c r="AQ14" s="28">
        <v>2</v>
      </c>
      <c r="AR14" s="28">
        <v>3</v>
      </c>
      <c r="AS14" s="28">
        <v>4</v>
      </c>
      <c r="AT14" s="28">
        <v>1</v>
      </c>
      <c r="AU14" s="28">
        <v>3</v>
      </c>
      <c r="AV14" s="28">
        <v>4</v>
      </c>
      <c r="AW14" s="28">
        <v>3</v>
      </c>
      <c r="AX14" s="28">
        <v>1</v>
      </c>
      <c r="AY14" s="28">
        <v>1</v>
      </c>
      <c r="AZ14" s="28">
        <v>1</v>
      </c>
      <c r="BA14" s="28">
        <v>3</v>
      </c>
      <c r="BB14" s="28">
        <v>1</v>
      </c>
      <c r="BC14" s="28">
        <v>2</v>
      </c>
      <c r="BD14" s="28" t="s">
        <v>49</v>
      </c>
    </row>
    <row r="15" spans="1:56">
      <c r="A15" s="3">
        <v>20070795007</v>
      </c>
      <c r="B15" s="11" t="s">
        <v>20</v>
      </c>
      <c r="C15" s="5">
        <v>1</v>
      </c>
      <c r="D15" s="5">
        <f t="shared" ref="D15:E15" si="19">Q15</f>
        <v>3</v>
      </c>
      <c r="E15" s="5">
        <f t="shared" si="19"/>
        <v>1</v>
      </c>
      <c r="F15" s="5">
        <f t="shared" ref="F15:J15" si="20">T15</f>
        <v>4</v>
      </c>
      <c r="G15" s="5">
        <f t="shared" si="20"/>
        <v>1</v>
      </c>
      <c r="H15" s="5">
        <f t="shared" si="20"/>
        <v>4</v>
      </c>
      <c r="I15" s="5">
        <f t="shared" si="20"/>
        <v>4</v>
      </c>
      <c r="J15" s="5">
        <f t="shared" si="20"/>
        <v>4</v>
      </c>
      <c r="K15" s="5">
        <f t="shared" si="2"/>
        <v>2</v>
      </c>
      <c r="L15" s="33">
        <v>2</v>
      </c>
      <c r="M15" s="6">
        <f>inkuiri!H15</f>
        <v>3</v>
      </c>
      <c r="N15" s="6">
        <v>4</v>
      </c>
      <c r="O15" s="6">
        <v>2</v>
      </c>
      <c r="P15" s="6">
        <f>'Perbaikan UTS'!C14</f>
        <v>4</v>
      </c>
      <c r="Q15" s="6">
        <f>'Perbaikan UTS'!D14</f>
        <v>3</v>
      </c>
      <c r="R15" s="6">
        <f>'Perbaikan UTS'!E14</f>
        <v>1</v>
      </c>
      <c r="S15" s="6">
        <f>'Perbaikan UTS'!F14</f>
        <v>4</v>
      </c>
      <c r="T15" s="6">
        <f>'Perbaikan UTS'!G14</f>
        <v>4</v>
      </c>
      <c r="U15" s="6">
        <f>'Perbaikan UTS'!H14</f>
        <v>1</v>
      </c>
      <c r="V15" s="6">
        <f>'Perbaikan UTS'!I14</f>
        <v>4</v>
      </c>
      <c r="W15" s="6">
        <f>'Perbaikan UTS'!J14</f>
        <v>4</v>
      </c>
      <c r="X15" s="6">
        <f>'Perbaikan UTS'!K14</f>
        <v>4</v>
      </c>
      <c r="Y15" s="6">
        <f>'Perbaikan UTS'!L14</f>
        <v>1</v>
      </c>
      <c r="Z15" s="6">
        <f>'Perbaikan UTS'!M14</f>
        <v>4</v>
      </c>
      <c r="AA15" s="6">
        <f>'Perbaikan UTS'!N14</f>
        <v>1</v>
      </c>
      <c r="AB15" s="6">
        <f>'Perbaikan UTS'!O14</f>
        <v>3</v>
      </c>
      <c r="AC15" s="6">
        <f>'Perbaikan UTS'!P14</f>
        <v>1</v>
      </c>
      <c r="AD15" s="6">
        <f>'Perbaikan UTS'!Q14</f>
        <v>2</v>
      </c>
      <c r="AE15" s="7">
        <f t="shared" si="3"/>
        <v>55.26315789473685</v>
      </c>
      <c r="AF15" s="24">
        <f>Pretest!F16</f>
        <v>91.666666666666657</v>
      </c>
      <c r="AG15" s="25">
        <f t="shared" si="4"/>
        <v>-4.3684210526315717</v>
      </c>
      <c r="AH15" s="8"/>
      <c r="AJ15" s="32" t="s">
        <v>20</v>
      </c>
      <c r="AK15" s="27">
        <v>1</v>
      </c>
      <c r="AL15" s="27">
        <v>2</v>
      </c>
      <c r="AM15" s="28">
        <v>4</v>
      </c>
      <c r="AN15" s="28">
        <v>2</v>
      </c>
      <c r="AO15" s="28">
        <v>4</v>
      </c>
      <c r="AP15" s="28">
        <v>3</v>
      </c>
      <c r="AQ15" s="28">
        <v>1</v>
      </c>
      <c r="AR15" s="28">
        <v>4</v>
      </c>
      <c r="AS15" s="28">
        <v>4</v>
      </c>
      <c r="AT15" s="28">
        <v>1</v>
      </c>
      <c r="AU15" s="28">
        <v>4</v>
      </c>
      <c r="AV15" s="28">
        <v>4</v>
      </c>
      <c r="AW15" s="28">
        <v>4</v>
      </c>
      <c r="AX15" s="28">
        <v>1</v>
      </c>
      <c r="AY15" s="28">
        <v>4</v>
      </c>
      <c r="AZ15" s="28">
        <v>1</v>
      </c>
      <c r="BA15" s="28">
        <v>3</v>
      </c>
      <c r="BB15" s="28">
        <v>1</v>
      </c>
      <c r="BC15" s="28">
        <v>2</v>
      </c>
      <c r="BD15" s="28" t="s">
        <v>51</v>
      </c>
    </row>
    <row r="16" spans="1:56">
      <c r="A16" s="3">
        <v>20070795026</v>
      </c>
      <c r="B16" s="9" t="s">
        <v>21</v>
      </c>
      <c r="C16" s="6">
        <v>1</v>
      </c>
      <c r="D16" s="5">
        <f t="shared" ref="D16:E16" si="21">Q16</f>
        <v>4</v>
      </c>
      <c r="E16" s="5">
        <f t="shared" si="21"/>
        <v>4</v>
      </c>
      <c r="F16" s="5">
        <f t="shared" ref="F16:J16" si="22">T16</f>
        <v>4</v>
      </c>
      <c r="G16" s="5">
        <f t="shared" si="22"/>
        <v>4</v>
      </c>
      <c r="H16" s="5">
        <f t="shared" si="22"/>
        <v>4</v>
      </c>
      <c r="I16" s="5">
        <f t="shared" si="22"/>
        <v>1</v>
      </c>
      <c r="J16" s="5">
        <f t="shared" si="22"/>
        <v>4</v>
      </c>
      <c r="K16" s="5">
        <f t="shared" si="2"/>
        <v>1</v>
      </c>
      <c r="L16" s="6">
        <v>2</v>
      </c>
      <c r="M16" s="6">
        <f>inkuiri!H16</f>
        <v>3</v>
      </c>
      <c r="N16" s="6">
        <v>2</v>
      </c>
      <c r="O16" s="6">
        <v>3</v>
      </c>
      <c r="P16" s="6">
        <f>'Perbaikan UTS'!C15</f>
        <v>4</v>
      </c>
      <c r="Q16" s="6">
        <f>'Perbaikan UTS'!D15</f>
        <v>4</v>
      </c>
      <c r="R16" s="6">
        <f>'Perbaikan UTS'!E15</f>
        <v>4</v>
      </c>
      <c r="S16" s="6">
        <f>'Perbaikan UTS'!F15</f>
        <v>1</v>
      </c>
      <c r="T16" s="6">
        <f>'Perbaikan UTS'!G15</f>
        <v>4</v>
      </c>
      <c r="U16" s="6">
        <f>'Perbaikan UTS'!H15</f>
        <v>4</v>
      </c>
      <c r="V16" s="6">
        <f>'Perbaikan UTS'!I15</f>
        <v>4</v>
      </c>
      <c r="W16" s="6">
        <f>'Perbaikan UTS'!J15</f>
        <v>1</v>
      </c>
      <c r="X16" s="6">
        <f>'Perbaikan UTS'!K15</f>
        <v>4</v>
      </c>
      <c r="Y16" s="6">
        <f>'Perbaikan UTS'!L15</f>
        <v>1</v>
      </c>
      <c r="Z16" s="6">
        <f>'Perbaikan UTS'!M15</f>
        <v>2</v>
      </c>
      <c r="AA16" s="6">
        <f>'Perbaikan UTS'!N15</f>
        <v>1</v>
      </c>
      <c r="AB16" s="6">
        <f>'Perbaikan UTS'!O15</f>
        <v>3</v>
      </c>
      <c r="AC16" s="6">
        <f>'Perbaikan UTS'!P15</f>
        <v>3</v>
      </c>
      <c r="AD16" s="6">
        <f>'Perbaikan UTS'!Q15</f>
        <v>1</v>
      </c>
      <c r="AE16" s="7">
        <f t="shared" si="3"/>
        <v>55.26315789473685</v>
      </c>
      <c r="AF16" s="24">
        <f>Pretest!F17</f>
        <v>83.333333333333343</v>
      </c>
      <c r="AG16" s="25">
        <f t="shared" si="4"/>
        <v>-1.6842105263157905</v>
      </c>
      <c r="AH16" s="8"/>
      <c r="AJ16" s="31" t="s">
        <v>21</v>
      </c>
      <c r="AK16" s="28">
        <v>1</v>
      </c>
      <c r="AL16" s="28">
        <v>2</v>
      </c>
      <c r="AM16" s="28">
        <v>2</v>
      </c>
      <c r="AN16" s="28">
        <v>3</v>
      </c>
      <c r="AO16" s="28">
        <v>4</v>
      </c>
      <c r="AP16" s="28">
        <v>4</v>
      </c>
      <c r="AQ16" s="28">
        <v>4</v>
      </c>
      <c r="AR16" s="28">
        <v>1</v>
      </c>
      <c r="AS16" s="28">
        <v>4</v>
      </c>
      <c r="AT16" s="28">
        <v>4</v>
      </c>
      <c r="AU16" s="28">
        <v>4</v>
      </c>
      <c r="AV16" s="28">
        <v>1</v>
      </c>
      <c r="AW16" s="28">
        <v>4</v>
      </c>
      <c r="AX16" s="28">
        <v>1</v>
      </c>
      <c r="AY16" s="28">
        <v>2</v>
      </c>
      <c r="AZ16" s="28">
        <v>1</v>
      </c>
      <c r="BA16" s="28">
        <v>3</v>
      </c>
      <c r="BB16" s="28">
        <v>3</v>
      </c>
      <c r="BC16" s="28">
        <v>1</v>
      </c>
      <c r="BD16" s="28" t="s">
        <v>56</v>
      </c>
    </row>
    <row r="17" spans="1:56">
      <c r="A17" s="3">
        <v>20070795010</v>
      </c>
      <c r="B17" s="9" t="s">
        <v>22</v>
      </c>
      <c r="C17" s="6">
        <v>1</v>
      </c>
      <c r="D17" s="5">
        <f t="shared" ref="D17:E17" si="23">Q17</f>
        <v>3</v>
      </c>
      <c r="E17" s="5">
        <f t="shared" si="23"/>
        <v>1</v>
      </c>
      <c r="F17" s="5">
        <f t="shared" ref="F17:J17" si="24">T17</f>
        <v>3</v>
      </c>
      <c r="G17" s="5">
        <f t="shared" si="24"/>
        <v>1</v>
      </c>
      <c r="H17" s="5">
        <f t="shared" si="24"/>
        <v>1</v>
      </c>
      <c r="I17" s="5">
        <f t="shared" si="24"/>
        <v>3</v>
      </c>
      <c r="J17" s="5">
        <f t="shared" si="24"/>
        <v>3</v>
      </c>
      <c r="K17" s="5">
        <f t="shared" si="2"/>
        <v>1</v>
      </c>
      <c r="L17" s="6">
        <v>2</v>
      </c>
      <c r="M17" s="6">
        <f>inkuiri!H17</f>
        <v>3</v>
      </c>
      <c r="N17" s="6">
        <v>3</v>
      </c>
      <c r="O17" s="6">
        <v>2</v>
      </c>
      <c r="P17" s="6">
        <f>'Perbaikan UTS'!C16</f>
        <v>4</v>
      </c>
      <c r="Q17" s="6">
        <f>'Perbaikan UTS'!D16</f>
        <v>3</v>
      </c>
      <c r="R17" s="6">
        <f>'Perbaikan UTS'!E16</f>
        <v>1</v>
      </c>
      <c r="S17" s="6">
        <f>'Perbaikan UTS'!F16</f>
        <v>1</v>
      </c>
      <c r="T17" s="6">
        <f>'Perbaikan UTS'!G16</f>
        <v>3</v>
      </c>
      <c r="U17" s="6">
        <f>'Perbaikan UTS'!H16</f>
        <v>1</v>
      </c>
      <c r="V17" s="6">
        <f>'Perbaikan UTS'!I16</f>
        <v>1</v>
      </c>
      <c r="W17" s="6">
        <f>'Perbaikan UTS'!J16</f>
        <v>3</v>
      </c>
      <c r="X17" s="6">
        <f>'Perbaikan UTS'!K16</f>
        <v>3</v>
      </c>
      <c r="Y17" s="6">
        <f>'Perbaikan UTS'!L16</f>
        <v>1</v>
      </c>
      <c r="Z17" s="6">
        <f>'Perbaikan UTS'!M16</f>
        <v>3</v>
      </c>
      <c r="AA17" s="6">
        <f>'Perbaikan UTS'!N16</f>
        <v>1</v>
      </c>
      <c r="AB17" s="6">
        <f>'Perbaikan UTS'!O16</f>
        <v>3</v>
      </c>
      <c r="AC17" s="6">
        <f>'Perbaikan UTS'!P16</f>
        <v>1</v>
      </c>
      <c r="AD17" s="6">
        <f>'Perbaikan UTS'!Q16</f>
        <v>1</v>
      </c>
      <c r="AE17" s="7">
        <f t="shared" si="3"/>
        <v>40.789473684210527</v>
      </c>
      <c r="AF17" s="24">
        <f>Pretest!F18</f>
        <v>83.333333333333343</v>
      </c>
      <c r="AG17" s="25">
        <f t="shared" si="4"/>
        <v>-2.5526315789473704</v>
      </c>
      <c r="AH17" s="8"/>
      <c r="AJ17" s="31" t="s">
        <v>22</v>
      </c>
      <c r="AK17" s="28">
        <v>1</v>
      </c>
      <c r="AL17" s="28">
        <v>2</v>
      </c>
      <c r="AM17" s="28">
        <v>3</v>
      </c>
      <c r="AN17" s="28">
        <v>2</v>
      </c>
      <c r="AO17" s="28">
        <v>4</v>
      </c>
      <c r="AP17" s="28">
        <v>3</v>
      </c>
      <c r="AQ17" s="28">
        <v>1</v>
      </c>
      <c r="AR17" s="28">
        <v>1</v>
      </c>
      <c r="AS17" s="28">
        <v>3</v>
      </c>
      <c r="AT17" s="28">
        <v>1</v>
      </c>
      <c r="AU17" s="28">
        <v>1</v>
      </c>
      <c r="AV17" s="28">
        <v>3</v>
      </c>
      <c r="AW17" s="28">
        <v>3</v>
      </c>
      <c r="AX17" s="28">
        <v>1</v>
      </c>
      <c r="AY17" s="28">
        <v>3</v>
      </c>
      <c r="AZ17" s="28">
        <v>1</v>
      </c>
      <c r="BA17" s="28">
        <v>3</v>
      </c>
      <c r="BB17" s="28">
        <v>1</v>
      </c>
      <c r="BC17" s="28">
        <v>1</v>
      </c>
      <c r="BD17" s="28" t="s">
        <v>57</v>
      </c>
    </row>
    <row r="18" spans="1:56">
      <c r="A18" s="3">
        <v>20070795013</v>
      </c>
      <c r="B18" s="9" t="s">
        <v>23</v>
      </c>
      <c r="C18" s="6">
        <v>1</v>
      </c>
      <c r="D18" s="5">
        <f t="shared" ref="D18:E18" si="25">Q18</f>
        <v>4</v>
      </c>
      <c r="E18" s="5">
        <f t="shared" si="25"/>
        <v>2</v>
      </c>
      <c r="F18" s="5">
        <f t="shared" ref="F18:J18" si="26">T18</f>
        <v>4</v>
      </c>
      <c r="G18" s="5">
        <f t="shared" si="26"/>
        <v>1</v>
      </c>
      <c r="H18" s="5">
        <f t="shared" si="26"/>
        <v>4</v>
      </c>
      <c r="I18" s="5">
        <f t="shared" si="26"/>
        <v>3</v>
      </c>
      <c r="J18" s="5">
        <f t="shared" si="26"/>
        <v>4</v>
      </c>
      <c r="K18" s="5">
        <f t="shared" si="2"/>
        <v>2</v>
      </c>
      <c r="L18" s="6">
        <v>2</v>
      </c>
      <c r="M18" s="6">
        <f>inkuiri!H18</f>
        <v>3</v>
      </c>
      <c r="N18" s="6">
        <v>3</v>
      </c>
      <c r="O18" s="6">
        <v>1</v>
      </c>
      <c r="P18" s="6">
        <f>'Perbaikan UTS'!C17</f>
        <v>4</v>
      </c>
      <c r="Q18" s="6">
        <f>'Perbaikan UTS'!D17</f>
        <v>4</v>
      </c>
      <c r="R18" s="6">
        <f>'Perbaikan UTS'!E17</f>
        <v>2</v>
      </c>
      <c r="S18" s="6">
        <f>'Perbaikan UTS'!F17</f>
        <v>1</v>
      </c>
      <c r="T18" s="6">
        <f>'Perbaikan UTS'!G17</f>
        <v>4</v>
      </c>
      <c r="U18" s="6">
        <f>'Perbaikan UTS'!H17</f>
        <v>1</v>
      </c>
      <c r="V18" s="6">
        <f>'Perbaikan UTS'!I17</f>
        <v>4</v>
      </c>
      <c r="W18" s="6">
        <f>'Perbaikan UTS'!J17</f>
        <v>3</v>
      </c>
      <c r="X18" s="6">
        <f>'Perbaikan UTS'!K17</f>
        <v>4</v>
      </c>
      <c r="Y18" s="6">
        <f>'Perbaikan UTS'!L17</f>
        <v>1</v>
      </c>
      <c r="Z18" s="6">
        <f>'Perbaikan UTS'!M17</f>
        <v>1</v>
      </c>
      <c r="AA18" s="6">
        <f>'Perbaikan UTS'!N17</f>
        <v>1</v>
      </c>
      <c r="AB18" s="6">
        <f>'Perbaikan UTS'!O17</f>
        <v>3</v>
      </c>
      <c r="AC18" s="6">
        <f>'Perbaikan UTS'!P17</f>
        <v>3</v>
      </c>
      <c r="AD18" s="6">
        <f>'Perbaikan UTS'!Q17</f>
        <v>2</v>
      </c>
      <c r="AE18" s="7">
        <f t="shared" si="3"/>
        <v>51.315789473684212</v>
      </c>
      <c r="AF18" s="24">
        <f>Pretest!F19</f>
        <v>50</v>
      </c>
      <c r="AG18" s="25">
        <f t="shared" si="4"/>
        <v>2.6315789473684247E-2</v>
      </c>
      <c r="AH18" s="8"/>
      <c r="AJ18" s="31" t="s">
        <v>23</v>
      </c>
      <c r="AK18" s="28">
        <v>1</v>
      </c>
      <c r="AL18" s="28">
        <v>2</v>
      </c>
      <c r="AM18" s="28">
        <v>3</v>
      </c>
      <c r="AN18" s="28">
        <v>1</v>
      </c>
      <c r="AO18" s="28">
        <v>4</v>
      </c>
      <c r="AP18" s="28">
        <v>4</v>
      </c>
      <c r="AQ18" s="28">
        <v>2</v>
      </c>
      <c r="AR18" s="28">
        <v>1</v>
      </c>
      <c r="AS18" s="28">
        <v>4</v>
      </c>
      <c r="AT18" s="28">
        <v>1</v>
      </c>
      <c r="AU18" s="28">
        <v>4</v>
      </c>
      <c r="AV18" s="28">
        <v>3</v>
      </c>
      <c r="AW18" s="28">
        <v>4</v>
      </c>
      <c r="AX18" s="28">
        <v>1</v>
      </c>
      <c r="AY18" s="28">
        <v>1</v>
      </c>
      <c r="AZ18" s="28">
        <v>1</v>
      </c>
      <c r="BA18" s="28">
        <v>3</v>
      </c>
      <c r="BB18" s="28">
        <v>3</v>
      </c>
      <c r="BC18" s="28">
        <v>2</v>
      </c>
      <c r="BD18" s="28" t="s">
        <v>50</v>
      </c>
    </row>
    <row r="19" spans="1:56">
      <c r="A19" s="34">
        <v>20070795017</v>
      </c>
      <c r="B19" s="35" t="s">
        <v>24</v>
      </c>
      <c r="C19" s="6">
        <v>1</v>
      </c>
      <c r="D19" s="5">
        <f t="shared" ref="D19:E19" si="27">Q19</f>
        <v>2</v>
      </c>
      <c r="E19" s="5">
        <f t="shared" si="27"/>
        <v>4</v>
      </c>
      <c r="F19" s="5">
        <f t="shared" ref="F19:J19" si="28">T19</f>
        <v>4</v>
      </c>
      <c r="G19" s="5">
        <f t="shared" si="28"/>
        <v>1</v>
      </c>
      <c r="H19" s="5">
        <f t="shared" si="28"/>
        <v>4</v>
      </c>
      <c r="I19" s="5">
        <f t="shared" si="28"/>
        <v>4</v>
      </c>
      <c r="J19" s="5">
        <f t="shared" si="28"/>
        <v>3</v>
      </c>
      <c r="K19" s="5">
        <f t="shared" si="2"/>
        <v>2</v>
      </c>
      <c r="L19" s="6">
        <v>2</v>
      </c>
      <c r="M19" s="6">
        <f>inkuiri!H19</f>
        <v>3</v>
      </c>
      <c r="N19" s="6">
        <v>2</v>
      </c>
      <c r="O19" s="6">
        <v>2</v>
      </c>
      <c r="P19" s="6">
        <f>'Perbaikan UTS'!C18</f>
        <v>4</v>
      </c>
      <c r="Q19" s="6">
        <f>'Perbaikan UTS'!D18</f>
        <v>2</v>
      </c>
      <c r="R19" s="6">
        <f>'Perbaikan UTS'!E18</f>
        <v>4</v>
      </c>
      <c r="S19" s="6">
        <f>'Perbaikan UTS'!F18</f>
        <v>4</v>
      </c>
      <c r="T19" s="6">
        <f>'Perbaikan UTS'!G18</f>
        <v>4</v>
      </c>
      <c r="U19" s="6">
        <f>'Perbaikan UTS'!H18</f>
        <v>1</v>
      </c>
      <c r="V19" s="6">
        <f>'Perbaikan UTS'!I18</f>
        <v>4</v>
      </c>
      <c r="W19" s="6">
        <f>'Perbaikan UTS'!J18</f>
        <v>4</v>
      </c>
      <c r="X19" s="6">
        <f>'Perbaikan UTS'!K18</f>
        <v>3</v>
      </c>
      <c r="Y19" s="6">
        <f>'Perbaikan UTS'!L18</f>
        <v>1</v>
      </c>
      <c r="Z19" s="6">
        <f>'Perbaikan UTS'!M18</f>
        <v>3</v>
      </c>
      <c r="AA19" s="6">
        <f>'Perbaikan UTS'!N18</f>
        <v>1</v>
      </c>
      <c r="AB19" s="6">
        <f>'Perbaikan UTS'!O18</f>
        <v>1</v>
      </c>
      <c r="AC19" s="6">
        <f>'Perbaikan UTS'!P18</f>
        <v>2</v>
      </c>
      <c r="AD19" s="6">
        <f>'Perbaikan UTS'!Q18</f>
        <v>2</v>
      </c>
      <c r="AE19" s="7">
        <f t="shared" si="3"/>
        <v>53.94736842105263</v>
      </c>
      <c r="AF19" s="8"/>
      <c r="AH19" s="8"/>
      <c r="AJ19" s="36" t="s">
        <v>24</v>
      </c>
      <c r="AK19" s="28">
        <v>1</v>
      </c>
      <c r="AL19" s="28">
        <v>2</v>
      </c>
      <c r="AM19" s="28">
        <v>2</v>
      </c>
      <c r="AN19" s="28">
        <v>2</v>
      </c>
      <c r="AO19" s="28">
        <v>4</v>
      </c>
      <c r="AP19" s="28">
        <v>2</v>
      </c>
      <c r="AQ19" s="28">
        <v>4</v>
      </c>
      <c r="AR19" s="28">
        <v>4</v>
      </c>
      <c r="AS19" s="28">
        <v>4</v>
      </c>
      <c r="AT19" s="28">
        <v>1</v>
      </c>
      <c r="AU19" s="28">
        <v>4</v>
      </c>
      <c r="AV19" s="28">
        <v>4</v>
      </c>
      <c r="AW19" s="28">
        <v>3</v>
      </c>
      <c r="AX19" s="28">
        <v>1</v>
      </c>
      <c r="AY19" s="28">
        <v>3</v>
      </c>
      <c r="AZ19" s="28">
        <v>1</v>
      </c>
      <c r="BA19" s="28">
        <v>1</v>
      </c>
      <c r="BB19" s="28">
        <v>2</v>
      </c>
      <c r="BC19" s="28">
        <v>2</v>
      </c>
      <c r="BD19" s="28" t="s">
        <v>58</v>
      </c>
    </row>
    <row r="20" spans="1:56">
      <c r="A20" s="108" t="s">
        <v>26</v>
      </c>
      <c r="B20" s="98"/>
      <c r="C20" s="108">
        <f>AVERAGE(C7:K19)</f>
        <v>2.5384615384615383</v>
      </c>
      <c r="D20" s="102"/>
      <c r="E20" s="102"/>
      <c r="F20" s="102"/>
      <c r="G20" s="102"/>
      <c r="H20" s="102"/>
      <c r="I20" s="102"/>
      <c r="J20" s="102"/>
      <c r="K20" s="98"/>
      <c r="L20" s="97">
        <f>AVERAGE(L7:M19)</f>
        <v>2.2692307692307692</v>
      </c>
      <c r="M20" s="98"/>
      <c r="N20" s="2">
        <f t="shared" ref="N20:O20" si="29">AVERAGE(N7:N19)</f>
        <v>3</v>
      </c>
      <c r="O20" s="2">
        <f t="shared" si="29"/>
        <v>1.8461538461538463</v>
      </c>
      <c r="P20" s="108">
        <f>AVERAGE(P7:AD19)</f>
        <v>2.4871794871794872</v>
      </c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98"/>
      <c r="AE20" s="37">
        <f>SUM(AE7:AE19)/13</f>
        <v>50.506072874493924</v>
      </c>
      <c r="AF20" s="8"/>
      <c r="AG20" s="8"/>
      <c r="AH20" s="8"/>
      <c r="AI20" s="8"/>
      <c r="AJ20" s="38"/>
      <c r="AK20" s="39"/>
      <c r="AL20" s="39"/>
      <c r="AM20" s="39"/>
      <c r="AN20" s="39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1" t="s">
        <v>59</v>
      </c>
    </row>
    <row r="21" spans="1:56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56">
      <c r="C22" s="25">
        <f>COUNTIF(C$7:C18,"=4")/(12)*100</f>
        <v>0</v>
      </c>
      <c r="L22" s="25">
        <f>COUNTIF(L$7:L18,"=4")/(12*4)*100</f>
        <v>0</v>
      </c>
      <c r="N22" s="25">
        <f t="shared" ref="N22:O22" si="30">COUNTIF(N$7:N18,"=4")/(12*4)*100</f>
        <v>10.416666666666668</v>
      </c>
      <c r="O22" s="25">
        <f t="shared" si="30"/>
        <v>0</v>
      </c>
      <c r="AE22" s="42">
        <f>COUNTIF(AE7:AE19,"&gt;60")/13*100</f>
        <v>7.6923076923076925</v>
      </c>
    </row>
    <row r="23" spans="1:56">
      <c r="C23" s="25">
        <f>COUNTIF(C$7:C19,"=3")/(12*4)*100</f>
        <v>0</v>
      </c>
      <c r="L23" s="25">
        <f>COUNTIF(L$7:L19,"=3")/(12*4)*100</f>
        <v>0</v>
      </c>
      <c r="N23" s="25">
        <f t="shared" ref="N23:O23" si="31">COUNTIF(N$7:N19,"=3")/(12*4)*100</f>
        <v>8.3333333333333321</v>
      </c>
      <c r="O23" s="25">
        <f t="shared" si="31"/>
        <v>4.1666666666666661</v>
      </c>
    </row>
    <row r="24" spans="1:56">
      <c r="C24" s="25">
        <f>COUNTIF(C$7:C19,"=2")/(12*4)*100</f>
        <v>2.083333333333333</v>
      </c>
      <c r="L24" s="25">
        <f>COUNTIF(L$7:L19,"=2")/(12*4)*100</f>
        <v>20.833333333333336</v>
      </c>
      <c r="N24" s="25">
        <f t="shared" ref="N24:O24" si="32">COUNTIF(N$7:N19,"=2")/(12*4)*100</f>
        <v>6.25</v>
      </c>
      <c r="O24" s="25">
        <f t="shared" si="32"/>
        <v>14.583333333333334</v>
      </c>
    </row>
    <row r="25" spans="1:56">
      <c r="C25" s="25">
        <f>COUNTIF(C$7:C20,"=1")/(12*4)*100</f>
        <v>25</v>
      </c>
      <c r="L25" s="25">
        <f>COUNTIF(L$7:L20,"=1")/(12*4)*100</f>
        <v>6.25</v>
      </c>
      <c r="N25" s="25">
        <f t="shared" ref="N25:O25" si="33">COUNTIF(N$7:N20,"=1")/(12*4)*100</f>
        <v>2.083333333333333</v>
      </c>
      <c r="O25" s="25">
        <f t="shared" si="33"/>
        <v>8.3333333333333321</v>
      </c>
    </row>
    <row r="27" spans="1:56">
      <c r="C27" s="43" t="s">
        <v>60</v>
      </c>
      <c r="D27" s="43"/>
      <c r="E27" s="43"/>
      <c r="F27" s="43"/>
      <c r="G27" s="43"/>
      <c r="H27" s="43"/>
      <c r="I27" s="43"/>
      <c r="J27" s="43"/>
      <c r="K27" s="43"/>
      <c r="L27" s="43" t="s">
        <v>61</v>
      </c>
      <c r="M27" s="43"/>
      <c r="N27" s="43" t="s">
        <v>62</v>
      </c>
      <c r="O27" s="43" t="s">
        <v>63</v>
      </c>
    </row>
    <row r="28" spans="1:56">
      <c r="B28" s="44" t="s">
        <v>64</v>
      </c>
      <c r="C28" s="42">
        <f>COUNTIF($L$7:$L$19,"=4")/13*100</f>
        <v>0</v>
      </c>
      <c r="D28" s="42"/>
      <c r="E28" s="42"/>
      <c r="F28" s="42"/>
      <c r="G28" s="42"/>
      <c r="H28" s="42"/>
      <c r="I28" s="42"/>
      <c r="J28" s="42"/>
      <c r="K28" s="42"/>
      <c r="L28" s="42">
        <f>COUNTIF($L$7:$L$19,"=3")/13*100</f>
        <v>0</v>
      </c>
      <c r="M28" s="42"/>
      <c r="N28" s="42">
        <f>COUNTIF($L$7:$L$19,"=2")/13*100</f>
        <v>76.923076923076934</v>
      </c>
      <c r="O28" s="42">
        <f>COUNTIF($L$7:$L$19,"=1")/13*100</f>
        <v>23.076923076923077</v>
      </c>
    </row>
    <row r="29" spans="1:56">
      <c r="B29" s="45" t="s">
        <v>65</v>
      </c>
      <c r="C29" s="42">
        <f>(COUNTIF($C$7:$C$19,"=4")+COUNTIF($N$7:$O$19,"=4"))/(13*3)*100</f>
        <v>12.820512820512819</v>
      </c>
      <c r="D29" s="42"/>
      <c r="E29" s="42"/>
      <c r="F29" s="42"/>
      <c r="G29" s="42"/>
      <c r="H29" s="42"/>
      <c r="I29" s="42"/>
      <c r="J29" s="42"/>
      <c r="K29" s="42"/>
      <c r="L29" s="42">
        <f>(COUNTIF($C$7:$C$19,"=3")+COUNTIF($N$7:$O$19,"=3"))/(13*3)*100</f>
        <v>15.384615384615385</v>
      </c>
      <c r="M29" s="42"/>
      <c r="N29" s="42">
        <f>(COUNTIF($C$7:$C$19,"=2")+COUNTIF($N$7:$O$19,"=2"))/(13*3)*100</f>
        <v>28.205128205128204</v>
      </c>
      <c r="O29" s="42">
        <f>(COUNTIF($C$7:$C$19,"=1")+COUNTIF($N$7:$O$19,"=1"))/(13*3)*100</f>
        <v>43.589743589743591</v>
      </c>
    </row>
    <row r="30" spans="1:56">
      <c r="B30" s="46" t="s">
        <v>66</v>
      </c>
      <c r="C30" s="42">
        <f>COUNTIF($P$7:$AD$19,4)/(13*15)*100</f>
        <v>28.717948717948715</v>
      </c>
      <c r="D30" s="42"/>
      <c r="E30" s="42"/>
      <c r="F30" s="42"/>
      <c r="G30" s="42"/>
      <c r="H30" s="42"/>
      <c r="I30" s="42"/>
      <c r="J30" s="42"/>
      <c r="K30" s="42"/>
      <c r="L30" s="42">
        <f>COUNTIF($P$7:$AD$19,3)/(13*15)*100</f>
        <v>25.641025641025639</v>
      </c>
      <c r="M30" s="42"/>
      <c r="N30" s="42">
        <f>COUNTIF($P$7:$AD$19,2)/(13*15)*100</f>
        <v>11.282051282051283</v>
      </c>
      <c r="O30" s="42">
        <f>COUNTIF($P$7:$AD$19,1)/(13*15)*100</f>
        <v>34.358974358974358</v>
      </c>
    </row>
    <row r="31" spans="1:56">
      <c r="B31" s="47"/>
    </row>
    <row r="33" spans="2:11">
      <c r="B33" s="43">
        <v>1</v>
      </c>
      <c r="C33" s="43">
        <v>2</v>
      </c>
      <c r="D33" s="43"/>
      <c r="E33" s="43"/>
      <c r="F33" s="43"/>
      <c r="G33" s="43"/>
      <c r="H33" s="43"/>
      <c r="I33" s="43"/>
      <c r="J33" s="43"/>
      <c r="K33" s="43"/>
    </row>
    <row r="34" spans="2:11">
      <c r="B34" s="43">
        <v>2</v>
      </c>
      <c r="C34" s="43">
        <v>2</v>
      </c>
      <c r="D34" s="43"/>
      <c r="E34" s="43"/>
      <c r="F34" s="43"/>
      <c r="G34" s="43"/>
      <c r="H34" s="43"/>
      <c r="I34" s="43"/>
      <c r="J34" s="43"/>
      <c r="K34" s="43"/>
    </row>
    <row r="35" spans="2:11">
      <c r="B35" s="43">
        <v>3</v>
      </c>
      <c r="C35" s="43">
        <v>3</v>
      </c>
      <c r="D35" s="43"/>
      <c r="E35" s="43"/>
      <c r="F35" s="43"/>
      <c r="G35" s="43"/>
      <c r="H35" s="43"/>
      <c r="I35" s="43"/>
      <c r="J35" s="43"/>
      <c r="K35" s="43"/>
    </row>
    <row r="36" spans="2:11">
      <c r="B36" s="43">
        <v>4</v>
      </c>
      <c r="C36" s="43" t="s">
        <v>67</v>
      </c>
      <c r="D36" s="43"/>
      <c r="E36" s="43"/>
      <c r="F36" s="43"/>
      <c r="G36" s="43"/>
      <c r="H36" s="43"/>
      <c r="I36" s="43"/>
      <c r="J36" s="43"/>
      <c r="K36" s="43"/>
    </row>
    <row r="37" spans="2:11">
      <c r="B37" s="43">
        <v>5</v>
      </c>
      <c r="C37" s="43">
        <v>5</v>
      </c>
      <c r="D37" s="43"/>
      <c r="E37" s="43"/>
      <c r="F37" s="43"/>
      <c r="G37" s="43"/>
      <c r="H37" s="43"/>
      <c r="I37" s="43"/>
      <c r="J37" s="43"/>
      <c r="K37" s="43"/>
    </row>
  </sheetData>
  <mergeCells count="30">
    <mergeCell ref="L5:L6"/>
    <mergeCell ref="L20:M20"/>
    <mergeCell ref="N5:N6"/>
    <mergeCell ref="O5:O6"/>
    <mergeCell ref="P20:AD20"/>
    <mergeCell ref="C4:K4"/>
    <mergeCell ref="D5:K5"/>
    <mergeCell ref="A1:AE1"/>
    <mergeCell ref="A2:AE2"/>
    <mergeCell ref="A4:A6"/>
    <mergeCell ref="B4:B6"/>
    <mergeCell ref="L4:M4"/>
    <mergeCell ref="O4:AD4"/>
    <mergeCell ref="C5:C6"/>
    <mergeCell ref="P5:AD5"/>
    <mergeCell ref="M5:M6"/>
    <mergeCell ref="AE4:AE6"/>
    <mergeCell ref="A20:B20"/>
    <mergeCell ref="C20:K20"/>
    <mergeCell ref="AF4:AF6"/>
    <mergeCell ref="AI4:AI6"/>
    <mergeCell ref="AJ4:AJ6"/>
    <mergeCell ref="AK4:BC4"/>
    <mergeCell ref="BD4:BD6"/>
    <mergeCell ref="AH5:AH6"/>
    <mergeCell ref="AO5:BC5"/>
    <mergeCell ref="AK5:AK6"/>
    <mergeCell ref="AL5:AL6"/>
    <mergeCell ref="AM5:AM6"/>
    <mergeCell ref="AN5:AN6"/>
  </mergeCells>
  <conditionalFormatting sqref="AE20">
    <cfRule type="notContainsBlanks" dxfId="1" priority="1">
      <formula>LEN(TRIM(AE20))&gt;0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.75" customHeight="1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G52"/>
  <sheetViews>
    <sheetView topLeftCell="Q1" zoomScaleNormal="100" zoomScalePageLayoutView="104" workbookViewId="0">
      <selection activeCell="AC13" sqref="AC13"/>
    </sheetView>
  </sheetViews>
  <sheetFormatPr defaultColWidth="14.42578125" defaultRowHeight="15.75" customHeight="1"/>
  <cols>
    <col min="1" max="1" width="13.85546875" bestFit="1" customWidth="1"/>
    <col min="2" max="2" width="27.85546875" bestFit="1" customWidth="1"/>
    <col min="3" max="3" width="4.5703125" customWidth="1"/>
    <col min="4" max="7" width="5" customWidth="1"/>
    <col min="8" max="8" width="6.7109375" customWidth="1"/>
    <col min="9" max="9" width="10" customWidth="1"/>
    <col min="10" max="14" width="5" customWidth="1"/>
    <col min="15" max="15" width="10" customWidth="1"/>
    <col min="16" max="17" width="6.42578125" customWidth="1"/>
    <col min="21" max="21" width="7.42578125" customWidth="1"/>
    <col min="22" max="24" width="5" customWidth="1"/>
    <col min="25" max="25" width="10" customWidth="1"/>
    <col min="26" max="29" width="5" customWidth="1"/>
    <col min="30" max="31" width="10" customWidth="1"/>
  </cols>
  <sheetData>
    <row r="1" spans="1:33" ht="15.75" customHeight="1">
      <c r="A1" t="s">
        <v>88</v>
      </c>
      <c r="R1" t="s">
        <v>89</v>
      </c>
    </row>
    <row r="2" spans="1:33" ht="12.75">
      <c r="A2" s="120" t="s">
        <v>2</v>
      </c>
      <c r="B2" s="120" t="s">
        <v>3</v>
      </c>
      <c r="C2" s="124" t="s">
        <v>83</v>
      </c>
      <c r="D2" s="123" t="s">
        <v>84</v>
      </c>
      <c r="E2" s="123"/>
      <c r="F2" s="123"/>
      <c r="G2" s="123"/>
      <c r="H2" s="123"/>
      <c r="I2" s="123" t="s">
        <v>5</v>
      </c>
      <c r="J2" s="121" t="s">
        <v>85</v>
      </c>
      <c r="K2" s="122"/>
      <c r="L2" s="122"/>
      <c r="M2" s="122"/>
      <c r="N2" s="122"/>
      <c r="O2" s="124" t="s">
        <v>5</v>
      </c>
      <c r="P2" s="74"/>
      <c r="Q2" s="74"/>
    </row>
    <row r="3" spans="1:33" ht="12.75">
      <c r="A3" s="120"/>
      <c r="B3" s="120"/>
      <c r="C3" s="124"/>
      <c r="D3" s="75">
        <v>1</v>
      </c>
      <c r="E3" s="75">
        <v>2</v>
      </c>
      <c r="F3" s="75">
        <v>3</v>
      </c>
      <c r="G3" s="75">
        <v>4</v>
      </c>
      <c r="H3" s="75" t="s">
        <v>87</v>
      </c>
      <c r="I3" s="123"/>
      <c r="J3" s="75">
        <v>1</v>
      </c>
      <c r="K3" s="75">
        <v>2</v>
      </c>
      <c r="L3" s="75">
        <v>3</v>
      </c>
      <c r="M3" s="75">
        <v>4</v>
      </c>
      <c r="N3" s="75">
        <v>5</v>
      </c>
      <c r="O3" s="124"/>
      <c r="P3" s="74"/>
      <c r="Q3" s="74"/>
      <c r="R3" s="125" t="s">
        <v>2</v>
      </c>
      <c r="S3" s="125" t="s">
        <v>3</v>
      </c>
      <c r="T3" s="125" t="s">
        <v>83</v>
      </c>
      <c r="U3" s="101" t="s">
        <v>71</v>
      </c>
      <c r="V3" s="116"/>
      <c r="W3" s="116"/>
      <c r="X3" s="117"/>
      <c r="Y3" s="118" t="s">
        <v>73</v>
      </c>
      <c r="Z3" s="101" t="s">
        <v>72</v>
      </c>
      <c r="AA3" s="102"/>
      <c r="AB3" s="102"/>
      <c r="AC3" s="98"/>
      <c r="AD3" s="118" t="s">
        <v>74</v>
      </c>
      <c r="AE3" s="118" t="s">
        <v>35</v>
      </c>
    </row>
    <row r="4" spans="1:33" ht="12.75">
      <c r="A4" s="76">
        <v>20070795027</v>
      </c>
      <c r="B4" s="75" t="s">
        <v>12</v>
      </c>
      <c r="C4" s="75" t="s">
        <v>69</v>
      </c>
      <c r="D4" s="75">
        <f>UTS!AK7</f>
        <v>1</v>
      </c>
      <c r="E4" s="75">
        <f>UTS!AL7</f>
        <v>1</v>
      </c>
      <c r="F4" s="75">
        <f>UTS!AM7</f>
        <v>2</v>
      </c>
      <c r="G4" s="75">
        <f>UTS!AN7</f>
        <v>2</v>
      </c>
      <c r="H4" s="77">
        <f>AVERAGE(UTS!P7:AD7)</f>
        <v>2.6666666666666665</v>
      </c>
      <c r="I4" s="77">
        <f t="shared" ref="I4:I16" si="0">SUM(D4:G4)/(4*4)*100</f>
        <v>37.5</v>
      </c>
      <c r="J4" s="75">
        <v>1</v>
      </c>
      <c r="K4" s="75">
        <v>2</v>
      </c>
      <c r="L4" s="75">
        <v>4</v>
      </c>
      <c r="M4" s="75">
        <v>2</v>
      </c>
      <c r="N4" s="75">
        <v>4</v>
      </c>
      <c r="O4" s="77">
        <f t="shared" ref="O4:O16" si="1">SUM(J4:N4)/(4*5)*100</f>
        <v>65</v>
      </c>
      <c r="P4" s="48"/>
      <c r="Q4" s="48"/>
      <c r="R4" s="126"/>
      <c r="S4" s="126"/>
      <c r="T4" s="126"/>
      <c r="U4" s="50">
        <v>1</v>
      </c>
      <c r="V4" s="50">
        <v>2</v>
      </c>
      <c r="W4" s="50">
        <v>3</v>
      </c>
      <c r="X4" s="50">
        <v>4</v>
      </c>
      <c r="Y4" s="119"/>
      <c r="Z4" s="50">
        <v>1</v>
      </c>
      <c r="AA4" s="50">
        <v>2</v>
      </c>
      <c r="AB4" s="50">
        <v>3</v>
      </c>
      <c r="AC4" s="50">
        <v>4</v>
      </c>
      <c r="AD4" s="119"/>
      <c r="AE4" s="119"/>
    </row>
    <row r="5" spans="1:33" ht="12.75">
      <c r="A5" s="76">
        <v>20070795014</v>
      </c>
      <c r="B5" s="78" t="s">
        <v>13</v>
      </c>
      <c r="C5" s="75" t="s">
        <v>70</v>
      </c>
      <c r="D5" s="75">
        <f>UTS!AK8</f>
        <v>1</v>
      </c>
      <c r="E5" s="75">
        <f>UTS!AL8</f>
        <v>2</v>
      </c>
      <c r="F5" s="75">
        <f>UTS!AM8</f>
        <v>3</v>
      </c>
      <c r="G5" s="75">
        <f>UTS!AN8</f>
        <v>2</v>
      </c>
      <c r="H5" s="77">
        <f>AVERAGE(UTS!P8:AD8)</f>
        <v>2.4666666666666668</v>
      </c>
      <c r="I5" s="77">
        <f t="shared" si="0"/>
        <v>50</v>
      </c>
      <c r="J5" s="75">
        <v>1</v>
      </c>
      <c r="K5" s="75">
        <v>4</v>
      </c>
      <c r="L5" s="75">
        <v>4</v>
      </c>
      <c r="M5" s="75">
        <v>2</v>
      </c>
      <c r="N5" s="75">
        <v>4</v>
      </c>
      <c r="O5" s="77">
        <f t="shared" si="1"/>
        <v>75</v>
      </c>
      <c r="P5" s="48"/>
      <c r="Q5" s="48"/>
      <c r="R5" s="49">
        <f t="shared" ref="R5:R17" si="2">A4</f>
        <v>20070795027</v>
      </c>
      <c r="S5" s="49" t="str">
        <f t="shared" ref="S5:S17" si="3">B4</f>
        <v>Filza Azura</v>
      </c>
      <c r="T5" s="49" t="str">
        <f t="shared" ref="T5:T17" si="4">C4</f>
        <v>P</v>
      </c>
      <c r="U5" s="49">
        <f t="shared" ref="U5:U17" si="5">AVERAGE(D3:E3)</f>
        <v>1.5</v>
      </c>
      <c r="V5" s="49">
        <f t="shared" ref="V5:V17" si="6">F3</f>
        <v>3</v>
      </c>
      <c r="W5" s="49">
        <f t="shared" ref="W5:W17" si="7">G4</f>
        <v>2</v>
      </c>
      <c r="X5" s="51">
        <f t="shared" ref="X5:X17" si="8">H4</f>
        <v>2.6666666666666665</v>
      </c>
      <c r="Y5" s="51">
        <f t="shared" ref="Y5:Y17" si="9">AVERAGE(U5:X5)/4*100</f>
        <v>57.291666666666664</v>
      </c>
      <c r="Z5" s="49">
        <f t="shared" ref="Z5:Z17" si="10">AVERAGE(J3:K3)</f>
        <v>1.5</v>
      </c>
      <c r="AA5" s="49">
        <f t="shared" ref="AA5:AA17" si="11">L4</f>
        <v>4</v>
      </c>
      <c r="AB5" s="49">
        <f t="shared" ref="AB5:AB17" si="12">AVERAGE(M4:N4)</f>
        <v>3</v>
      </c>
      <c r="AC5" s="49">
        <f t="shared" ref="AC5:AC17" si="13">L4</f>
        <v>4</v>
      </c>
      <c r="AD5" s="51">
        <f t="shared" ref="AD5:AD17" si="14">AVERAGE(Z5:AC5)/4*100</f>
        <v>78.125</v>
      </c>
      <c r="AE5" s="52">
        <f t="shared" ref="AE5:AE17" si="15">(AD5-Z5)/(100-Z5)</f>
        <v>0.77791878172588835</v>
      </c>
      <c r="AG5">
        <f>100*Z5/4</f>
        <v>37.5</v>
      </c>
    </row>
    <row r="6" spans="1:33" ht="12.75">
      <c r="A6" s="76">
        <v>20070795016</v>
      </c>
      <c r="B6" s="79" t="s">
        <v>14</v>
      </c>
      <c r="C6" s="75" t="s">
        <v>69</v>
      </c>
      <c r="D6" s="75">
        <f>UTS!AK9</f>
        <v>1</v>
      </c>
      <c r="E6" s="75">
        <f>UTS!AL9</f>
        <v>2</v>
      </c>
      <c r="F6" s="75">
        <f>UTS!AM9</f>
        <v>3</v>
      </c>
      <c r="G6" s="75">
        <f>UTS!AN9</f>
        <v>2</v>
      </c>
      <c r="H6" s="77">
        <f>AVERAGE(UTS!P9:AD9)</f>
        <v>2.8</v>
      </c>
      <c r="I6" s="77">
        <f t="shared" si="0"/>
        <v>50</v>
      </c>
      <c r="J6" s="75">
        <v>1</v>
      </c>
      <c r="K6" s="75">
        <v>4</v>
      </c>
      <c r="L6" s="75">
        <v>4</v>
      </c>
      <c r="M6" s="75">
        <v>2</v>
      </c>
      <c r="N6" s="75">
        <v>4</v>
      </c>
      <c r="O6" s="77">
        <f t="shared" si="1"/>
        <v>75</v>
      </c>
      <c r="P6" s="48"/>
      <c r="Q6" s="48"/>
      <c r="R6" s="49">
        <f t="shared" si="2"/>
        <v>20070795014</v>
      </c>
      <c r="S6" s="49" t="str">
        <f t="shared" si="3"/>
        <v>Moch Alif Mahfudin</v>
      </c>
      <c r="T6" s="49" t="str">
        <f t="shared" si="4"/>
        <v>L</v>
      </c>
      <c r="U6" s="49">
        <f t="shared" si="5"/>
        <v>1</v>
      </c>
      <c r="V6" s="49">
        <f t="shared" si="6"/>
        <v>2</v>
      </c>
      <c r="W6" s="49">
        <f t="shared" si="7"/>
        <v>2</v>
      </c>
      <c r="X6" s="51">
        <f t="shared" si="8"/>
        <v>2.4666666666666668</v>
      </c>
      <c r="Y6" s="51">
        <f t="shared" si="9"/>
        <v>46.666666666666664</v>
      </c>
      <c r="Z6" s="49">
        <f t="shared" si="10"/>
        <v>1.5</v>
      </c>
      <c r="AA6" s="49">
        <f t="shared" si="11"/>
        <v>4</v>
      </c>
      <c r="AB6" s="49">
        <f t="shared" si="12"/>
        <v>3</v>
      </c>
      <c r="AC6" s="49">
        <f t="shared" si="13"/>
        <v>4</v>
      </c>
      <c r="AD6" s="51">
        <f t="shared" si="14"/>
        <v>78.125</v>
      </c>
      <c r="AE6" s="52">
        <f t="shared" si="15"/>
        <v>0.77791878172588835</v>
      </c>
      <c r="AG6" s="73">
        <f t="shared" ref="AG6:AG17" si="16">100*Z6/4</f>
        <v>37.5</v>
      </c>
    </row>
    <row r="7" spans="1:33" ht="12.75">
      <c r="A7" s="76">
        <v>20070795023</v>
      </c>
      <c r="B7" s="78" t="s">
        <v>15</v>
      </c>
      <c r="C7" s="75" t="s">
        <v>69</v>
      </c>
      <c r="D7" s="75">
        <f>UTS!AK10</f>
        <v>1</v>
      </c>
      <c r="E7" s="75">
        <f>UTS!AL10</f>
        <v>1</v>
      </c>
      <c r="F7" s="75">
        <f>UTS!AM10</f>
        <v>4</v>
      </c>
      <c r="G7" s="75">
        <f>UTS!AN10</f>
        <v>1</v>
      </c>
      <c r="H7" s="77">
        <f>AVERAGE(UTS!P10:AD10)</f>
        <v>2.4666666666666668</v>
      </c>
      <c r="I7" s="77">
        <f t="shared" si="0"/>
        <v>43.75</v>
      </c>
      <c r="J7" s="75">
        <v>1</v>
      </c>
      <c r="K7" s="75">
        <v>4</v>
      </c>
      <c r="L7" s="75">
        <v>4</v>
      </c>
      <c r="M7" s="75">
        <v>2</v>
      </c>
      <c r="N7" s="75">
        <v>3</v>
      </c>
      <c r="O7" s="77">
        <f t="shared" si="1"/>
        <v>70</v>
      </c>
      <c r="P7" s="48"/>
      <c r="Q7" s="48"/>
      <c r="R7" s="49">
        <f t="shared" si="2"/>
        <v>20070795016</v>
      </c>
      <c r="S7" s="49" t="str">
        <f t="shared" si="3"/>
        <v>Mardiyanti Hartati</v>
      </c>
      <c r="T7" s="49" t="str">
        <f t="shared" si="4"/>
        <v>P</v>
      </c>
      <c r="U7" s="49">
        <f t="shared" si="5"/>
        <v>1.5</v>
      </c>
      <c r="V7" s="49">
        <f t="shared" si="6"/>
        <v>3</v>
      </c>
      <c r="W7" s="49">
        <f t="shared" si="7"/>
        <v>2</v>
      </c>
      <c r="X7" s="51">
        <f t="shared" si="8"/>
        <v>2.8</v>
      </c>
      <c r="Y7" s="51">
        <f t="shared" si="9"/>
        <v>58.125000000000007</v>
      </c>
      <c r="Z7" s="49">
        <f t="shared" si="10"/>
        <v>2.5</v>
      </c>
      <c r="AA7" s="49">
        <f t="shared" si="11"/>
        <v>4</v>
      </c>
      <c r="AB7" s="49">
        <f t="shared" si="12"/>
        <v>3</v>
      </c>
      <c r="AC7" s="49">
        <f t="shared" si="13"/>
        <v>4</v>
      </c>
      <c r="AD7" s="51">
        <f t="shared" si="14"/>
        <v>84.375</v>
      </c>
      <c r="AE7" s="52">
        <f t="shared" si="15"/>
        <v>0.83974358974358976</v>
      </c>
      <c r="AG7" s="73">
        <f t="shared" si="16"/>
        <v>62.5</v>
      </c>
    </row>
    <row r="8" spans="1:33" ht="12.75">
      <c r="A8" s="76">
        <v>20070795012</v>
      </c>
      <c r="B8" s="78" t="s">
        <v>16</v>
      </c>
      <c r="C8" s="75" t="s">
        <v>69</v>
      </c>
      <c r="D8" s="75">
        <f>UTS!AK11</f>
        <v>2</v>
      </c>
      <c r="E8" s="75">
        <f>UTS!AL11</f>
        <v>2</v>
      </c>
      <c r="F8" s="75">
        <f>UTS!AM11</f>
        <v>4</v>
      </c>
      <c r="G8" s="75">
        <f>UTS!AN11</f>
        <v>1</v>
      </c>
      <c r="H8" s="77">
        <f>AVERAGE(UTS!P11:AD11)</f>
        <v>3.2</v>
      </c>
      <c r="I8" s="77">
        <f t="shared" si="0"/>
        <v>56.25</v>
      </c>
      <c r="J8" s="75">
        <v>1</v>
      </c>
      <c r="K8" s="75">
        <v>4</v>
      </c>
      <c r="L8" s="75">
        <v>4</v>
      </c>
      <c r="M8" s="75">
        <v>4</v>
      </c>
      <c r="N8" s="75">
        <v>4</v>
      </c>
      <c r="O8" s="77">
        <f t="shared" si="1"/>
        <v>85</v>
      </c>
      <c r="P8" s="48"/>
      <c r="Q8" s="48"/>
      <c r="R8" s="49">
        <f t="shared" si="2"/>
        <v>20070795023</v>
      </c>
      <c r="S8" s="49" t="str">
        <f t="shared" si="3"/>
        <v>Shofiyatul Masruro</v>
      </c>
      <c r="T8" s="49" t="str">
        <f t="shared" si="4"/>
        <v>P</v>
      </c>
      <c r="U8" s="49">
        <f t="shared" si="5"/>
        <v>1.5</v>
      </c>
      <c r="V8" s="49">
        <f t="shared" si="6"/>
        <v>3</v>
      </c>
      <c r="W8" s="49">
        <f t="shared" si="7"/>
        <v>1</v>
      </c>
      <c r="X8" s="51">
        <f t="shared" si="8"/>
        <v>2.4666666666666668</v>
      </c>
      <c r="Y8" s="51">
        <f t="shared" si="9"/>
        <v>49.791666666666664</v>
      </c>
      <c r="Z8" s="49">
        <f t="shared" si="10"/>
        <v>2.5</v>
      </c>
      <c r="AA8" s="49">
        <f t="shared" si="11"/>
        <v>4</v>
      </c>
      <c r="AB8" s="49">
        <f t="shared" si="12"/>
        <v>2.5</v>
      </c>
      <c r="AC8" s="49">
        <f t="shared" si="13"/>
        <v>4</v>
      </c>
      <c r="AD8" s="51">
        <f t="shared" si="14"/>
        <v>81.25</v>
      </c>
      <c r="AE8" s="52">
        <f t="shared" si="15"/>
        <v>0.80769230769230771</v>
      </c>
      <c r="AG8" s="73">
        <f t="shared" si="16"/>
        <v>62.5</v>
      </c>
    </row>
    <row r="9" spans="1:33" ht="12.75">
      <c r="A9" s="79">
        <v>20070795009</v>
      </c>
      <c r="B9" s="78" t="s">
        <v>17</v>
      </c>
      <c r="C9" s="75" t="s">
        <v>69</v>
      </c>
      <c r="D9" s="75">
        <f>UTS!AK12</f>
        <v>1</v>
      </c>
      <c r="E9" s="75">
        <f>UTS!AL12</f>
        <v>1</v>
      </c>
      <c r="F9" s="75">
        <f>UTS!AM12</f>
        <v>1</v>
      </c>
      <c r="G9" s="75">
        <f>UTS!AN12</f>
        <v>3</v>
      </c>
      <c r="H9" s="77">
        <f>AVERAGE(UTS!P12:AD12)</f>
        <v>1.2666666666666666</v>
      </c>
      <c r="I9" s="77">
        <f t="shared" si="0"/>
        <v>37.5</v>
      </c>
      <c r="J9" s="75">
        <v>1</v>
      </c>
      <c r="K9" s="75">
        <v>2</v>
      </c>
      <c r="L9" s="75">
        <v>4</v>
      </c>
      <c r="M9" s="75">
        <v>1</v>
      </c>
      <c r="N9" s="75">
        <v>1</v>
      </c>
      <c r="O9" s="77">
        <f t="shared" si="1"/>
        <v>45</v>
      </c>
      <c r="P9" s="48"/>
      <c r="Q9" s="48"/>
      <c r="R9" s="49">
        <f t="shared" si="2"/>
        <v>20070795012</v>
      </c>
      <c r="S9" s="49" t="str">
        <f t="shared" si="3"/>
        <v>Vina Melinda</v>
      </c>
      <c r="T9" s="49" t="str">
        <f t="shared" si="4"/>
        <v>P</v>
      </c>
      <c r="U9" s="49">
        <f t="shared" si="5"/>
        <v>1</v>
      </c>
      <c r="V9" s="49">
        <f t="shared" si="6"/>
        <v>4</v>
      </c>
      <c r="W9" s="49">
        <f t="shared" si="7"/>
        <v>1</v>
      </c>
      <c r="X9" s="51">
        <f t="shared" si="8"/>
        <v>3.2</v>
      </c>
      <c r="Y9" s="51">
        <f t="shared" si="9"/>
        <v>57.499999999999993</v>
      </c>
      <c r="Z9" s="49">
        <f t="shared" si="10"/>
        <v>2.5</v>
      </c>
      <c r="AA9" s="49">
        <f t="shared" si="11"/>
        <v>4</v>
      </c>
      <c r="AB9" s="49">
        <f t="shared" si="12"/>
        <v>4</v>
      </c>
      <c r="AC9" s="49">
        <f t="shared" si="13"/>
        <v>4</v>
      </c>
      <c r="AD9" s="51">
        <f t="shared" si="14"/>
        <v>90.625</v>
      </c>
      <c r="AE9" s="52">
        <f t="shared" si="15"/>
        <v>0.90384615384615385</v>
      </c>
      <c r="AG9" s="73">
        <f t="shared" si="16"/>
        <v>62.5</v>
      </c>
    </row>
    <row r="10" spans="1:33" ht="12.75">
      <c r="A10" s="76">
        <v>20070795025</v>
      </c>
      <c r="B10" s="78" t="s">
        <v>18</v>
      </c>
      <c r="C10" s="75" t="s">
        <v>69</v>
      </c>
      <c r="D10" s="75">
        <f>UTS!AK13</f>
        <v>1</v>
      </c>
      <c r="E10" s="75">
        <f>UTS!AL13</f>
        <v>2</v>
      </c>
      <c r="F10" s="75">
        <f>UTS!AM13</f>
        <v>4</v>
      </c>
      <c r="G10" s="75">
        <f>UTS!AN13</f>
        <v>1</v>
      </c>
      <c r="H10" s="77">
        <f>AVERAGE(UTS!P13:AD13)</f>
        <v>2.3333333333333335</v>
      </c>
      <c r="I10" s="77">
        <f t="shared" si="0"/>
        <v>50</v>
      </c>
      <c r="J10" s="75">
        <v>1</v>
      </c>
      <c r="K10" s="75">
        <v>4</v>
      </c>
      <c r="L10" s="75">
        <v>4</v>
      </c>
      <c r="M10" s="75">
        <v>1</v>
      </c>
      <c r="N10" s="75">
        <v>4</v>
      </c>
      <c r="O10" s="77">
        <f t="shared" si="1"/>
        <v>70</v>
      </c>
      <c r="P10" s="48"/>
      <c r="Q10" s="48"/>
      <c r="R10" s="49">
        <f t="shared" si="2"/>
        <v>20070795009</v>
      </c>
      <c r="S10" s="49" t="str">
        <f t="shared" si="3"/>
        <v>Fauziyah Khoirinnisyah</v>
      </c>
      <c r="T10" s="49" t="str">
        <f t="shared" si="4"/>
        <v>P</v>
      </c>
      <c r="U10" s="49">
        <f t="shared" si="5"/>
        <v>2</v>
      </c>
      <c r="V10" s="49">
        <f t="shared" si="6"/>
        <v>4</v>
      </c>
      <c r="W10" s="49">
        <f t="shared" si="7"/>
        <v>3</v>
      </c>
      <c r="X10" s="51">
        <f t="shared" si="8"/>
        <v>1.2666666666666666</v>
      </c>
      <c r="Y10" s="51">
        <f t="shared" si="9"/>
        <v>64.166666666666657</v>
      </c>
      <c r="Z10" s="49">
        <f t="shared" si="10"/>
        <v>2.5</v>
      </c>
      <c r="AA10" s="49">
        <f t="shared" si="11"/>
        <v>4</v>
      </c>
      <c r="AB10" s="49">
        <f t="shared" si="12"/>
        <v>1</v>
      </c>
      <c r="AC10" s="49">
        <f t="shared" si="13"/>
        <v>4</v>
      </c>
      <c r="AD10" s="51">
        <f t="shared" si="14"/>
        <v>71.875</v>
      </c>
      <c r="AE10" s="52">
        <f t="shared" si="15"/>
        <v>0.71153846153846156</v>
      </c>
      <c r="AG10" s="73">
        <f t="shared" si="16"/>
        <v>62.5</v>
      </c>
    </row>
    <row r="11" spans="1:33" ht="12.75">
      <c r="A11" s="76">
        <v>20070795011</v>
      </c>
      <c r="B11" s="78" t="s">
        <v>19</v>
      </c>
      <c r="C11" s="75" t="s">
        <v>70</v>
      </c>
      <c r="D11" s="75">
        <f>UTS!AK14</f>
        <v>1</v>
      </c>
      <c r="E11" s="75">
        <f>UTS!AL14</f>
        <v>2</v>
      </c>
      <c r="F11" s="75">
        <f>UTS!AM14</f>
        <v>4</v>
      </c>
      <c r="G11" s="75">
        <f>UTS!AN14</f>
        <v>2</v>
      </c>
      <c r="H11" s="77">
        <f>AVERAGE(UTS!P14:AD14)</f>
        <v>2.4666666666666668</v>
      </c>
      <c r="I11" s="77">
        <f t="shared" si="0"/>
        <v>56.25</v>
      </c>
      <c r="J11" s="75">
        <v>1</v>
      </c>
      <c r="K11" s="75">
        <v>4</v>
      </c>
      <c r="L11" s="75">
        <v>4</v>
      </c>
      <c r="M11" s="75">
        <v>2</v>
      </c>
      <c r="N11" s="75">
        <v>4</v>
      </c>
      <c r="O11" s="77">
        <f t="shared" si="1"/>
        <v>75</v>
      </c>
      <c r="P11" s="48"/>
      <c r="Q11" s="48"/>
      <c r="R11" s="49">
        <f t="shared" si="2"/>
        <v>20070795025</v>
      </c>
      <c r="S11" s="49" t="str">
        <f t="shared" si="3"/>
        <v>Soraya Dewi Novidya</v>
      </c>
      <c r="T11" s="49" t="str">
        <f t="shared" si="4"/>
        <v>P</v>
      </c>
      <c r="U11" s="49">
        <f t="shared" si="5"/>
        <v>1</v>
      </c>
      <c r="V11" s="49">
        <f t="shared" si="6"/>
        <v>1</v>
      </c>
      <c r="W11" s="49">
        <f t="shared" si="7"/>
        <v>1</v>
      </c>
      <c r="X11" s="51">
        <f t="shared" si="8"/>
        <v>2.3333333333333335</v>
      </c>
      <c r="Y11" s="51">
        <f t="shared" si="9"/>
        <v>33.333333333333336</v>
      </c>
      <c r="Z11" s="49">
        <f t="shared" si="10"/>
        <v>1.5</v>
      </c>
      <c r="AA11" s="49">
        <f t="shared" si="11"/>
        <v>4</v>
      </c>
      <c r="AB11" s="49">
        <f t="shared" si="12"/>
        <v>2.5</v>
      </c>
      <c r="AC11" s="49">
        <f t="shared" si="13"/>
        <v>4</v>
      </c>
      <c r="AD11" s="51">
        <f t="shared" si="14"/>
        <v>75</v>
      </c>
      <c r="AE11" s="52">
        <f t="shared" si="15"/>
        <v>0.74619289340101524</v>
      </c>
      <c r="AG11" s="73">
        <f t="shared" si="16"/>
        <v>37.5</v>
      </c>
    </row>
    <row r="12" spans="1:33" ht="12.75">
      <c r="A12" s="76">
        <v>20070795007</v>
      </c>
      <c r="B12" s="79" t="s">
        <v>20</v>
      </c>
      <c r="C12" s="75" t="s">
        <v>70</v>
      </c>
      <c r="D12" s="75">
        <f>UTS!AK15</f>
        <v>1</v>
      </c>
      <c r="E12" s="75">
        <f>UTS!AL15</f>
        <v>2</v>
      </c>
      <c r="F12" s="75">
        <f>UTS!AM15</f>
        <v>4</v>
      </c>
      <c r="G12" s="75">
        <f>UTS!AN15</f>
        <v>2</v>
      </c>
      <c r="H12" s="77">
        <f>AVERAGE(UTS!P15:AD15)</f>
        <v>2.7333333333333334</v>
      </c>
      <c r="I12" s="77">
        <f t="shared" si="0"/>
        <v>56.25</v>
      </c>
      <c r="J12" s="75">
        <v>1</v>
      </c>
      <c r="K12" s="75">
        <v>4</v>
      </c>
      <c r="L12" s="75">
        <v>4</v>
      </c>
      <c r="M12" s="75">
        <v>2</v>
      </c>
      <c r="N12" s="75">
        <v>4</v>
      </c>
      <c r="O12" s="77">
        <f t="shared" si="1"/>
        <v>75</v>
      </c>
      <c r="P12" s="48"/>
      <c r="Q12" s="48"/>
      <c r="R12" s="49">
        <f t="shared" si="2"/>
        <v>20070795011</v>
      </c>
      <c r="S12" s="49" t="str">
        <f t="shared" si="3"/>
        <v>Hasan Nuurul Hidaayatullaah</v>
      </c>
      <c r="T12" s="49" t="str">
        <f t="shared" si="4"/>
        <v>L</v>
      </c>
      <c r="U12" s="49">
        <f t="shared" si="5"/>
        <v>1.5</v>
      </c>
      <c r="V12" s="49">
        <f t="shared" si="6"/>
        <v>4</v>
      </c>
      <c r="W12" s="49">
        <f t="shared" si="7"/>
        <v>2</v>
      </c>
      <c r="X12" s="51">
        <f t="shared" si="8"/>
        <v>2.4666666666666668</v>
      </c>
      <c r="Y12" s="51">
        <f t="shared" si="9"/>
        <v>62.291666666666664</v>
      </c>
      <c r="Z12" s="49">
        <f t="shared" si="10"/>
        <v>2.5</v>
      </c>
      <c r="AA12" s="49">
        <f t="shared" si="11"/>
        <v>4</v>
      </c>
      <c r="AB12" s="49">
        <f t="shared" si="12"/>
        <v>3</v>
      </c>
      <c r="AC12" s="49">
        <f t="shared" si="13"/>
        <v>4</v>
      </c>
      <c r="AD12" s="51">
        <f t="shared" si="14"/>
        <v>84.375</v>
      </c>
      <c r="AE12" s="52">
        <f t="shared" si="15"/>
        <v>0.83974358974358976</v>
      </c>
      <c r="AG12" s="73">
        <f t="shared" si="16"/>
        <v>62.5</v>
      </c>
    </row>
    <row r="13" spans="1:33" ht="12.75">
      <c r="A13" s="76">
        <v>20070795026</v>
      </c>
      <c r="B13" s="78" t="s">
        <v>21</v>
      </c>
      <c r="C13" s="75" t="s">
        <v>70</v>
      </c>
      <c r="D13" s="75">
        <f>UTS!AK16</f>
        <v>1</v>
      </c>
      <c r="E13" s="75">
        <f>UTS!AL16</f>
        <v>2</v>
      </c>
      <c r="F13" s="75">
        <f>UTS!AM16</f>
        <v>2</v>
      </c>
      <c r="G13" s="75">
        <f>UTS!AN16</f>
        <v>3</v>
      </c>
      <c r="H13" s="77">
        <f>AVERAGE(UTS!P16:AD16)</f>
        <v>2.7333333333333334</v>
      </c>
      <c r="I13" s="77">
        <f t="shared" si="0"/>
        <v>50</v>
      </c>
      <c r="J13" s="75">
        <v>1</v>
      </c>
      <c r="K13" s="75">
        <v>2</v>
      </c>
      <c r="L13" s="75">
        <v>4</v>
      </c>
      <c r="M13" s="75">
        <v>4</v>
      </c>
      <c r="N13" s="75">
        <v>4</v>
      </c>
      <c r="O13" s="77">
        <f t="shared" si="1"/>
        <v>75</v>
      </c>
      <c r="P13" s="48"/>
      <c r="Q13" s="48"/>
      <c r="R13" s="49">
        <f t="shared" si="2"/>
        <v>20070795007</v>
      </c>
      <c r="S13" s="49" t="str">
        <f t="shared" si="3"/>
        <v>Vichi Cahyo Eko Saputro</v>
      </c>
      <c r="T13" s="49" t="str">
        <f t="shared" si="4"/>
        <v>L</v>
      </c>
      <c r="U13" s="49">
        <f t="shared" si="5"/>
        <v>1.5</v>
      </c>
      <c r="V13" s="49">
        <f t="shared" si="6"/>
        <v>4</v>
      </c>
      <c r="W13" s="49">
        <f t="shared" si="7"/>
        <v>2</v>
      </c>
      <c r="X13" s="51">
        <f t="shared" si="8"/>
        <v>2.7333333333333334</v>
      </c>
      <c r="Y13" s="51">
        <f t="shared" si="9"/>
        <v>63.958333333333343</v>
      </c>
      <c r="Z13" s="49">
        <f t="shared" si="10"/>
        <v>2.5</v>
      </c>
      <c r="AA13" s="49">
        <f t="shared" si="11"/>
        <v>4</v>
      </c>
      <c r="AB13" s="49">
        <f t="shared" si="12"/>
        <v>3</v>
      </c>
      <c r="AC13" s="49">
        <f t="shared" si="13"/>
        <v>4</v>
      </c>
      <c r="AD13" s="51">
        <f t="shared" si="14"/>
        <v>84.375</v>
      </c>
      <c r="AE13" s="52">
        <f t="shared" si="15"/>
        <v>0.83974358974358976</v>
      </c>
      <c r="AG13" s="73">
        <f t="shared" si="16"/>
        <v>62.5</v>
      </c>
    </row>
    <row r="14" spans="1:33" ht="12.75">
      <c r="A14" s="76">
        <v>20070795010</v>
      </c>
      <c r="B14" s="78" t="s">
        <v>22</v>
      </c>
      <c r="C14" s="75" t="s">
        <v>69</v>
      </c>
      <c r="D14" s="75">
        <f>UTS!AK17</f>
        <v>1</v>
      </c>
      <c r="E14" s="75">
        <f>UTS!AL17</f>
        <v>2</v>
      </c>
      <c r="F14" s="75">
        <f>UTS!AM17</f>
        <v>3</v>
      </c>
      <c r="G14" s="75">
        <f>UTS!AN17</f>
        <v>2</v>
      </c>
      <c r="H14" s="77">
        <f>AVERAGE(UTS!P17:AD17)</f>
        <v>2</v>
      </c>
      <c r="I14" s="77">
        <f t="shared" si="0"/>
        <v>50</v>
      </c>
      <c r="J14" s="75">
        <v>1</v>
      </c>
      <c r="K14" s="75">
        <v>4</v>
      </c>
      <c r="L14" s="75">
        <v>4</v>
      </c>
      <c r="M14" s="75">
        <v>2</v>
      </c>
      <c r="N14" s="75">
        <v>4</v>
      </c>
      <c r="O14" s="77">
        <f t="shared" si="1"/>
        <v>75</v>
      </c>
      <c r="P14" s="48"/>
      <c r="Q14" s="48"/>
      <c r="R14" s="49">
        <f t="shared" si="2"/>
        <v>20070795026</v>
      </c>
      <c r="S14" s="49" t="str">
        <f t="shared" si="3"/>
        <v>Moh. Shohib</v>
      </c>
      <c r="T14" s="49" t="str">
        <f t="shared" si="4"/>
        <v>L</v>
      </c>
      <c r="U14" s="49">
        <f t="shared" si="5"/>
        <v>1.5</v>
      </c>
      <c r="V14" s="49">
        <f t="shared" si="6"/>
        <v>4</v>
      </c>
      <c r="W14" s="49">
        <f t="shared" si="7"/>
        <v>3</v>
      </c>
      <c r="X14" s="51">
        <f t="shared" si="8"/>
        <v>2.7333333333333334</v>
      </c>
      <c r="Y14" s="51">
        <f t="shared" si="9"/>
        <v>70.208333333333343</v>
      </c>
      <c r="Z14" s="49">
        <f t="shared" si="10"/>
        <v>2.5</v>
      </c>
      <c r="AA14" s="49">
        <f t="shared" si="11"/>
        <v>4</v>
      </c>
      <c r="AB14" s="49">
        <f t="shared" si="12"/>
        <v>4</v>
      </c>
      <c r="AC14" s="49">
        <f t="shared" si="13"/>
        <v>4</v>
      </c>
      <c r="AD14" s="51">
        <f t="shared" si="14"/>
        <v>90.625</v>
      </c>
      <c r="AE14" s="52">
        <f t="shared" si="15"/>
        <v>0.90384615384615385</v>
      </c>
      <c r="AG14" s="73">
        <f t="shared" si="16"/>
        <v>62.5</v>
      </c>
    </row>
    <row r="15" spans="1:33" ht="12.75">
      <c r="A15" s="76">
        <v>20070795013</v>
      </c>
      <c r="B15" s="78" t="s">
        <v>23</v>
      </c>
      <c r="C15" s="75" t="s">
        <v>69</v>
      </c>
      <c r="D15" s="75">
        <f>UTS!AK18</f>
        <v>1</v>
      </c>
      <c r="E15" s="75">
        <f>UTS!AL18</f>
        <v>2</v>
      </c>
      <c r="F15" s="75">
        <f>UTS!AM18</f>
        <v>3</v>
      </c>
      <c r="G15" s="75">
        <f>UTS!AN18</f>
        <v>1</v>
      </c>
      <c r="H15" s="77">
        <f>AVERAGE(UTS!P18:AD18)</f>
        <v>2.5333333333333332</v>
      </c>
      <c r="I15" s="77">
        <f t="shared" si="0"/>
        <v>43.75</v>
      </c>
      <c r="J15" s="75">
        <v>1</v>
      </c>
      <c r="K15" s="75">
        <v>2</v>
      </c>
      <c r="L15" s="75">
        <v>4</v>
      </c>
      <c r="M15" s="75">
        <v>4</v>
      </c>
      <c r="N15" s="75">
        <v>4</v>
      </c>
      <c r="O15" s="77">
        <f t="shared" si="1"/>
        <v>75</v>
      </c>
      <c r="P15" s="48"/>
      <c r="Q15" s="48"/>
      <c r="R15" s="49">
        <f t="shared" si="2"/>
        <v>20070795010</v>
      </c>
      <c r="S15" s="49" t="str">
        <f t="shared" si="3"/>
        <v>Desi Wulandari</v>
      </c>
      <c r="T15" s="49" t="str">
        <f t="shared" si="4"/>
        <v>P</v>
      </c>
      <c r="U15" s="49">
        <f t="shared" si="5"/>
        <v>1.5</v>
      </c>
      <c r="V15" s="49">
        <f t="shared" si="6"/>
        <v>2</v>
      </c>
      <c r="W15" s="49">
        <f t="shared" si="7"/>
        <v>2</v>
      </c>
      <c r="X15" s="51">
        <f t="shared" si="8"/>
        <v>2</v>
      </c>
      <c r="Y15" s="51">
        <f t="shared" si="9"/>
        <v>46.875</v>
      </c>
      <c r="Z15" s="49">
        <f t="shared" si="10"/>
        <v>1.5</v>
      </c>
      <c r="AA15" s="49">
        <f t="shared" si="11"/>
        <v>4</v>
      </c>
      <c r="AB15" s="49">
        <f t="shared" si="12"/>
        <v>3</v>
      </c>
      <c r="AC15" s="49">
        <f t="shared" si="13"/>
        <v>4</v>
      </c>
      <c r="AD15" s="51">
        <f t="shared" si="14"/>
        <v>78.125</v>
      </c>
      <c r="AE15" s="52">
        <f t="shared" si="15"/>
        <v>0.77791878172588835</v>
      </c>
      <c r="AG15" s="73">
        <f t="shared" si="16"/>
        <v>37.5</v>
      </c>
    </row>
    <row r="16" spans="1:33" ht="12.75">
      <c r="A16" s="80">
        <v>20070795017</v>
      </c>
      <c r="B16" s="81" t="s">
        <v>24</v>
      </c>
      <c r="C16" s="75" t="s">
        <v>70</v>
      </c>
      <c r="D16" s="75">
        <f>UTS!AK19</f>
        <v>1</v>
      </c>
      <c r="E16" s="75">
        <f>UTS!AL19</f>
        <v>2</v>
      </c>
      <c r="F16" s="75">
        <f>UTS!AM19</f>
        <v>2</v>
      </c>
      <c r="G16" s="75">
        <f>UTS!AN19</f>
        <v>2</v>
      </c>
      <c r="H16" s="77">
        <f>AVERAGE(UTS!P19:AD19)</f>
        <v>2.6666666666666665</v>
      </c>
      <c r="I16" s="77">
        <f t="shared" si="0"/>
        <v>43.75</v>
      </c>
      <c r="J16" s="75">
        <v>1</v>
      </c>
      <c r="K16" s="75">
        <v>1</v>
      </c>
      <c r="L16" s="75">
        <v>4</v>
      </c>
      <c r="M16" s="75">
        <v>2</v>
      </c>
      <c r="N16" s="75">
        <v>4</v>
      </c>
      <c r="O16" s="77">
        <f t="shared" si="1"/>
        <v>60</v>
      </c>
      <c r="P16" s="48"/>
      <c r="Q16" s="48"/>
      <c r="R16" s="49">
        <f t="shared" si="2"/>
        <v>20070795013</v>
      </c>
      <c r="S16" s="49" t="str">
        <f t="shared" si="3"/>
        <v>Reni Wulandari</v>
      </c>
      <c r="T16" s="49" t="str">
        <f t="shared" si="4"/>
        <v>P</v>
      </c>
      <c r="U16" s="49">
        <f t="shared" si="5"/>
        <v>1.5</v>
      </c>
      <c r="V16" s="49">
        <f t="shared" si="6"/>
        <v>3</v>
      </c>
      <c r="W16" s="49">
        <f t="shared" si="7"/>
        <v>1</v>
      </c>
      <c r="X16" s="51">
        <f t="shared" si="8"/>
        <v>2.5333333333333332</v>
      </c>
      <c r="Y16" s="51">
        <f t="shared" si="9"/>
        <v>50.208333333333336</v>
      </c>
      <c r="Z16" s="49">
        <f t="shared" si="10"/>
        <v>2.5</v>
      </c>
      <c r="AA16" s="49">
        <f t="shared" si="11"/>
        <v>4</v>
      </c>
      <c r="AB16" s="49">
        <f t="shared" si="12"/>
        <v>4</v>
      </c>
      <c r="AC16" s="49">
        <f t="shared" si="13"/>
        <v>4</v>
      </c>
      <c r="AD16" s="51">
        <f t="shared" si="14"/>
        <v>90.625</v>
      </c>
      <c r="AE16" s="52">
        <f t="shared" si="15"/>
        <v>0.90384615384615385</v>
      </c>
      <c r="AG16" s="73">
        <f t="shared" si="16"/>
        <v>62.5</v>
      </c>
    </row>
    <row r="17" spans="2:33" ht="15.75" customHeight="1">
      <c r="R17" s="49">
        <f t="shared" si="2"/>
        <v>20070795017</v>
      </c>
      <c r="S17" s="49" t="str">
        <f t="shared" si="3"/>
        <v>Muhammad Ziyyauddin</v>
      </c>
      <c r="T17" s="49" t="str">
        <f t="shared" si="4"/>
        <v>L</v>
      </c>
      <c r="U17" s="49">
        <f t="shared" si="5"/>
        <v>1.5</v>
      </c>
      <c r="V17" s="49">
        <f t="shared" si="6"/>
        <v>3</v>
      </c>
      <c r="W17" s="49">
        <f t="shared" si="7"/>
        <v>2</v>
      </c>
      <c r="X17" s="51">
        <f t="shared" si="8"/>
        <v>2.6666666666666665</v>
      </c>
      <c r="Y17" s="51">
        <f t="shared" si="9"/>
        <v>57.291666666666664</v>
      </c>
      <c r="Z17" s="49">
        <f t="shared" si="10"/>
        <v>1.5</v>
      </c>
      <c r="AA17" s="49">
        <f t="shared" si="11"/>
        <v>4</v>
      </c>
      <c r="AB17" s="49">
        <f t="shared" si="12"/>
        <v>3</v>
      </c>
      <c r="AC17" s="49">
        <f t="shared" si="13"/>
        <v>4</v>
      </c>
      <c r="AD17" s="51">
        <f t="shared" si="14"/>
        <v>78.125</v>
      </c>
      <c r="AE17" s="52">
        <f t="shared" si="15"/>
        <v>0.77791878172588835</v>
      </c>
      <c r="AG17" s="73">
        <f t="shared" si="16"/>
        <v>37.5</v>
      </c>
    </row>
    <row r="18" spans="2:33" ht="12.75">
      <c r="B18" s="43"/>
      <c r="C18" s="25"/>
      <c r="R18" s="101" t="s">
        <v>86</v>
      </c>
      <c r="S18" s="116"/>
      <c r="T18" s="117"/>
      <c r="U18" s="49">
        <f>AVERAGE(U5:U17)/4*100</f>
        <v>35.57692307692308</v>
      </c>
      <c r="V18" s="49">
        <f t="shared" ref="V18:X18" si="17">AVERAGE(V5:V17)/4*100</f>
        <v>76.923076923076934</v>
      </c>
      <c r="W18" s="49">
        <f t="shared" si="17"/>
        <v>46.153846153846153</v>
      </c>
      <c r="X18" s="49">
        <f t="shared" si="17"/>
        <v>62.179487179487168</v>
      </c>
      <c r="Y18" s="51"/>
      <c r="Z18" s="49">
        <f t="shared" ref="Z18:AC18" si="18">AVERAGE(Z5:Z17)/4*100</f>
        <v>52.884615384615387</v>
      </c>
      <c r="AA18" s="49">
        <f t="shared" si="18"/>
        <v>100</v>
      </c>
      <c r="AB18" s="49">
        <f t="shared" si="18"/>
        <v>75</v>
      </c>
      <c r="AC18" s="49">
        <f t="shared" si="18"/>
        <v>100</v>
      </c>
      <c r="AD18" s="51"/>
      <c r="AE18" s="51">
        <f>AVERAGE(AE5:AE17)</f>
        <v>0.81598984771573602</v>
      </c>
    </row>
    <row r="19" spans="2:33" ht="12.75">
      <c r="B19" s="43"/>
      <c r="C19" s="25"/>
      <c r="Z19" s="85">
        <f>(Z18-U18)/(100-U18)</f>
        <v>0.26865671641791045</v>
      </c>
    </row>
    <row r="22" spans="2:33" ht="15.75" customHeight="1">
      <c r="AD22" s="43" t="s">
        <v>75</v>
      </c>
      <c r="AE22" s="43" t="s">
        <v>68</v>
      </c>
    </row>
    <row r="23" spans="2:33" ht="15.75" customHeight="1">
      <c r="AC23" s="43">
        <v>1</v>
      </c>
      <c r="AD23" s="83">
        <f>U18</f>
        <v>35.57692307692308</v>
      </c>
      <c r="AE23" s="83">
        <f>Z18</f>
        <v>52.884615384615387</v>
      </c>
    </row>
    <row r="24" spans="2:33" ht="15.75" customHeight="1">
      <c r="AC24" s="43">
        <v>2</v>
      </c>
      <c r="AD24" s="83">
        <f>V18</f>
        <v>76.923076923076934</v>
      </c>
      <c r="AE24" s="83">
        <f>AA18</f>
        <v>100</v>
      </c>
    </row>
    <row r="25" spans="2:33" ht="15.75" customHeight="1">
      <c r="AC25" s="43">
        <v>3</v>
      </c>
      <c r="AD25" s="83">
        <f>W18</f>
        <v>46.153846153846153</v>
      </c>
      <c r="AE25" s="83">
        <f>AB18</f>
        <v>75</v>
      </c>
    </row>
    <row r="26" spans="2:33" ht="15.75" customHeight="1">
      <c r="AC26" s="43">
        <v>4</v>
      </c>
      <c r="AD26" s="83">
        <f>X18</f>
        <v>62.179487179487168</v>
      </c>
      <c r="AE26" s="83">
        <f>AC18</f>
        <v>100</v>
      </c>
    </row>
    <row r="40" spans="21:24" ht="15.75" customHeight="1">
      <c r="U40" s="49"/>
      <c r="V40" s="49"/>
      <c r="W40" s="49"/>
      <c r="X40" s="49"/>
    </row>
    <row r="41" spans="21:24" ht="15.75" customHeight="1">
      <c r="U41" s="49"/>
      <c r="V41" s="49"/>
      <c r="W41" s="49"/>
      <c r="X41" s="49"/>
    </row>
    <row r="42" spans="21:24" ht="15.75" customHeight="1">
      <c r="U42" s="49"/>
      <c r="V42" s="49"/>
      <c r="W42" s="49"/>
      <c r="X42" s="49"/>
    </row>
    <row r="43" spans="21:24" ht="15.75" customHeight="1">
      <c r="U43" s="49"/>
      <c r="V43" s="49"/>
      <c r="W43" s="49"/>
      <c r="X43" s="49"/>
    </row>
    <row r="44" spans="21:24" ht="15.75" customHeight="1">
      <c r="U44" s="49"/>
      <c r="V44" s="49"/>
      <c r="W44" s="49"/>
      <c r="X44" s="49"/>
    </row>
    <row r="45" spans="21:24" ht="15.75" customHeight="1">
      <c r="U45" s="49"/>
      <c r="V45" s="49"/>
      <c r="W45" s="49"/>
      <c r="X45" s="49"/>
    </row>
    <row r="46" spans="21:24" ht="15.75" customHeight="1">
      <c r="U46" s="49"/>
      <c r="V46" s="49"/>
      <c r="W46" s="49"/>
      <c r="X46" s="49"/>
    </row>
    <row r="47" spans="21:24" ht="15.75" customHeight="1">
      <c r="U47" s="49"/>
      <c r="V47" s="49"/>
      <c r="W47" s="49"/>
      <c r="X47" s="49"/>
    </row>
    <row r="48" spans="21:24" ht="15.75" customHeight="1">
      <c r="U48" s="49"/>
      <c r="V48" s="49"/>
      <c r="W48" s="49"/>
      <c r="X48" s="49"/>
    </row>
    <row r="49" spans="21:24" ht="15.75" customHeight="1">
      <c r="U49" s="49"/>
      <c r="V49" s="49"/>
      <c r="W49" s="49"/>
      <c r="X49" s="49"/>
    </row>
    <row r="50" spans="21:24" ht="15.75" customHeight="1">
      <c r="U50" s="49"/>
      <c r="V50" s="49"/>
      <c r="W50" s="49"/>
      <c r="X50" s="49"/>
    </row>
    <row r="51" spans="21:24" ht="15.75" customHeight="1">
      <c r="U51" s="49"/>
      <c r="V51" s="49"/>
      <c r="W51" s="49"/>
      <c r="X51" s="49"/>
    </row>
    <row r="52" spans="21:24" ht="15.75" customHeight="1">
      <c r="U52" s="49"/>
      <c r="V52" s="49"/>
      <c r="W52" s="49"/>
      <c r="X52" s="49"/>
    </row>
  </sheetData>
  <mergeCells count="16">
    <mergeCell ref="R18:T18"/>
    <mergeCell ref="Y3:Y4"/>
    <mergeCell ref="AD3:AD4"/>
    <mergeCell ref="AE3:AE4"/>
    <mergeCell ref="A2:A3"/>
    <mergeCell ref="B2:B3"/>
    <mergeCell ref="J2:N2"/>
    <mergeCell ref="U3:X3"/>
    <mergeCell ref="Z3:AC3"/>
    <mergeCell ref="D2:H2"/>
    <mergeCell ref="C2:C3"/>
    <mergeCell ref="I2:I3"/>
    <mergeCell ref="O2:O3"/>
    <mergeCell ref="R3:R4"/>
    <mergeCell ref="S3:S4"/>
    <mergeCell ref="T3:T4"/>
  </mergeCells>
  <pageMargins left="0.7" right="0.7" top="0.75" bottom="0.75" header="0.3" footer="0.3"/>
  <pageSetup paperSize="9" orientation="landscape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30"/>
  <sheetViews>
    <sheetView tabSelected="1" topLeftCell="A15" workbookViewId="0">
      <selection activeCell="I30" sqref="I30"/>
    </sheetView>
  </sheetViews>
  <sheetFormatPr defaultRowHeight="12.75"/>
  <cols>
    <col min="1" max="1" width="17.7109375" customWidth="1"/>
    <col min="2" max="2" width="29.5703125" customWidth="1"/>
    <col min="4" max="14" width="9.5703125" bestFit="1" customWidth="1"/>
  </cols>
  <sheetData>
    <row r="5" spans="1:15">
      <c r="A5" t="s">
        <v>2</v>
      </c>
      <c r="B5" t="s">
        <v>3</v>
      </c>
      <c r="C5" t="s">
        <v>83</v>
      </c>
      <c r="D5" t="s">
        <v>71</v>
      </c>
      <c r="H5" t="s">
        <v>73</v>
      </c>
      <c r="I5" t="s">
        <v>72</v>
      </c>
      <c r="M5" t="s">
        <v>74</v>
      </c>
      <c r="N5" t="s">
        <v>35</v>
      </c>
    </row>
    <row r="6" spans="1:15">
      <c r="D6">
        <v>1</v>
      </c>
      <c r="E6">
        <v>2</v>
      </c>
      <c r="F6">
        <v>3</v>
      </c>
      <c r="G6">
        <v>4</v>
      </c>
      <c r="I6">
        <v>1</v>
      </c>
      <c r="J6">
        <v>2</v>
      </c>
      <c r="K6">
        <v>3</v>
      </c>
      <c r="L6">
        <v>4</v>
      </c>
    </row>
    <row r="7" spans="1:15">
      <c r="A7">
        <v>20070795027</v>
      </c>
      <c r="B7" t="s">
        <v>12</v>
      </c>
      <c r="C7" t="s">
        <v>69</v>
      </c>
      <c r="D7" s="82">
        <f>100*1.5/4</f>
        <v>37.5</v>
      </c>
      <c r="E7">
        <v>25</v>
      </c>
      <c r="F7">
        <v>80</v>
      </c>
      <c r="G7">
        <v>37.5</v>
      </c>
      <c r="H7" s="89">
        <f>AVERAGE(D7:G7)</f>
        <v>45</v>
      </c>
      <c r="I7" s="82">
        <f>100*3.5/4</f>
        <v>87.5</v>
      </c>
      <c r="J7">
        <v>75</v>
      </c>
      <c r="K7">
        <v>90</v>
      </c>
      <c r="L7">
        <v>75</v>
      </c>
      <c r="M7" s="89">
        <f>AVERAGE(I7:L7)</f>
        <v>81.875</v>
      </c>
      <c r="N7" s="88">
        <f>(M7-H7)/(100-H7)</f>
        <v>0.67045454545454541</v>
      </c>
      <c r="O7" t="str">
        <f>IF(N7&lt;0.3, "small", IF(N7&lt;0.701, "medium", "high"))</f>
        <v>medium</v>
      </c>
    </row>
    <row r="8" spans="1:15">
      <c r="A8">
        <v>20070795014</v>
      </c>
      <c r="B8" t="s">
        <v>13</v>
      </c>
      <c r="C8" t="s">
        <v>70</v>
      </c>
      <c r="D8">
        <v>40</v>
      </c>
      <c r="E8">
        <v>25</v>
      </c>
      <c r="F8">
        <v>75</v>
      </c>
      <c r="G8" s="82">
        <v>37.5</v>
      </c>
      <c r="H8" s="89">
        <f t="shared" ref="H8:H19" si="0">AVERAGE(D8:G8)</f>
        <v>44.375</v>
      </c>
      <c r="I8" s="82">
        <v>90</v>
      </c>
      <c r="J8" s="82">
        <v>90</v>
      </c>
      <c r="K8" s="82">
        <v>90</v>
      </c>
      <c r="L8" s="82">
        <v>70</v>
      </c>
      <c r="M8" s="89">
        <f t="shared" ref="M8:M19" si="1">AVERAGE(I8:L8)</f>
        <v>85</v>
      </c>
      <c r="N8" s="88">
        <f t="shared" ref="N8:N19" si="2">(M8-H8)/(100-H8)</f>
        <v>0.7303370786516854</v>
      </c>
      <c r="O8" s="82" t="str">
        <f t="shared" ref="O8:O20" si="3">IF(N8&lt;0.3, "small", IF(N8&lt;0.701, "medium", "high"))</f>
        <v>high</v>
      </c>
    </row>
    <row r="9" spans="1:15">
      <c r="A9">
        <v>20070795016</v>
      </c>
      <c r="B9" t="s">
        <v>14</v>
      </c>
      <c r="C9" t="s">
        <v>69</v>
      </c>
      <c r="D9">
        <v>25</v>
      </c>
      <c r="E9">
        <v>25</v>
      </c>
      <c r="F9">
        <v>75</v>
      </c>
      <c r="G9">
        <v>25</v>
      </c>
      <c r="H9" s="89">
        <f t="shared" si="0"/>
        <v>37.5</v>
      </c>
      <c r="I9" s="82">
        <f t="shared" ref="I9:I18" si="4">100*3.5/4</f>
        <v>87.5</v>
      </c>
      <c r="J9" s="82">
        <v>90</v>
      </c>
      <c r="K9" s="82">
        <v>87.5</v>
      </c>
      <c r="L9" s="82">
        <v>80</v>
      </c>
      <c r="M9" s="89">
        <f t="shared" si="1"/>
        <v>86.25</v>
      </c>
      <c r="N9" s="88">
        <f t="shared" si="2"/>
        <v>0.78</v>
      </c>
      <c r="O9" s="82" t="str">
        <f t="shared" si="3"/>
        <v>high</v>
      </c>
    </row>
    <row r="10" spans="1:15">
      <c r="A10">
        <v>20070795023</v>
      </c>
      <c r="B10" t="s">
        <v>15</v>
      </c>
      <c r="C10" t="s">
        <v>69</v>
      </c>
      <c r="D10" s="82">
        <v>40</v>
      </c>
      <c r="E10" s="82">
        <v>25</v>
      </c>
      <c r="F10" s="82">
        <v>75</v>
      </c>
      <c r="G10" s="82">
        <v>25</v>
      </c>
      <c r="H10" s="89">
        <f t="shared" si="0"/>
        <v>41.25</v>
      </c>
      <c r="I10" s="82">
        <v>80</v>
      </c>
      <c r="J10" s="82">
        <v>90</v>
      </c>
      <c r="K10" s="82">
        <v>75</v>
      </c>
      <c r="L10" s="82">
        <v>70</v>
      </c>
      <c r="M10" s="89">
        <f t="shared" si="1"/>
        <v>78.75</v>
      </c>
      <c r="N10" s="88">
        <f t="shared" si="2"/>
        <v>0.63829787234042556</v>
      </c>
      <c r="O10" s="82" t="str">
        <f t="shared" si="3"/>
        <v>medium</v>
      </c>
    </row>
    <row r="11" spans="1:15">
      <c r="A11">
        <v>20070795012</v>
      </c>
      <c r="B11" t="s">
        <v>16</v>
      </c>
      <c r="C11" t="s">
        <v>69</v>
      </c>
      <c r="D11" s="82">
        <v>60</v>
      </c>
      <c r="E11" s="82">
        <v>50</v>
      </c>
      <c r="F11" s="82">
        <v>87.5</v>
      </c>
      <c r="G11" s="82">
        <v>25</v>
      </c>
      <c r="H11" s="89">
        <f t="shared" si="0"/>
        <v>55.625</v>
      </c>
      <c r="I11" s="82">
        <f t="shared" si="4"/>
        <v>87.5</v>
      </c>
      <c r="J11" s="82">
        <v>90</v>
      </c>
      <c r="K11" s="82">
        <v>90</v>
      </c>
      <c r="L11" s="82">
        <v>80</v>
      </c>
      <c r="M11" s="89">
        <f t="shared" si="1"/>
        <v>86.875</v>
      </c>
      <c r="N11" s="88">
        <f t="shared" si="2"/>
        <v>0.70422535211267601</v>
      </c>
      <c r="O11" s="82" t="str">
        <f t="shared" si="3"/>
        <v>high</v>
      </c>
    </row>
    <row r="12" spans="1:15">
      <c r="A12">
        <v>20070795009</v>
      </c>
      <c r="B12" t="s">
        <v>17</v>
      </c>
      <c r="C12" t="s">
        <v>69</v>
      </c>
      <c r="D12">
        <v>25</v>
      </c>
      <c r="E12">
        <v>5</v>
      </c>
      <c r="F12">
        <v>40</v>
      </c>
      <c r="G12">
        <v>25</v>
      </c>
      <c r="H12" s="89">
        <f t="shared" si="0"/>
        <v>23.75</v>
      </c>
      <c r="I12" s="82">
        <f t="shared" si="4"/>
        <v>87.5</v>
      </c>
      <c r="J12" s="82">
        <v>90</v>
      </c>
      <c r="K12" s="82">
        <v>80</v>
      </c>
      <c r="L12" s="82">
        <v>70</v>
      </c>
      <c r="M12" s="89">
        <f t="shared" si="1"/>
        <v>81.875</v>
      </c>
      <c r="N12" s="88">
        <f t="shared" si="2"/>
        <v>0.76229508196721307</v>
      </c>
      <c r="O12" s="82" t="str">
        <f t="shared" si="3"/>
        <v>high</v>
      </c>
    </row>
    <row r="13" spans="1:15">
      <c r="A13">
        <v>20070795025</v>
      </c>
      <c r="B13" t="s">
        <v>18</v>
      </c>
      <c r="C13" t="s">
        <v>69</v>
      </c>
      <c r="D13" s="82">
        <v>25</v>
      </c>
      <c r="E13" s="82">
        <v>25</v>
      </c>
      <c r="F13" s="82">
        <v>50</v>
      </c>
      <c r="G13" s="82">
        <v>25</v>
      </c>
      <c r="H13" s="89">
        <f t="shared" si="0"/>
        <v>31.25</v>
      </c>
      <c r="I13" s="82">
        <f>100*3/4</f>
        <v>75</v>
      </c>
      <c r="J13">
        <v>75</v>
      </c>
      <c r="K13">
        <v>80</v>
      </c>
      <c r="L13">
        <v>75</v>
      </c>
      <c r="M13" s="89">
        <f t="shared" si="1"/>
        <v>76.25</v>
      </c>
      <c r="N13" s="88">
        <f t="shared" si="2"/>
        <v>0.65454545454545454</v>
      </c>
      <c r="O13" s="82" t="str">
        <f t="shared" si="3"/>
        <v>medium</v>
      </c>
    </row>
    <row r="14" spans="1:15">
      <c r="A14">
        <v>20070795011</v>
      </c>
      <c r="B14" t="s">
        <v>19</v>
      </c>
      <c r="C14" t="s">
        <v>70</v>
      </c>
      <c r="D14" s="82">
        <v>50</v>
      </c>
      <c r="E14" s="82">
        <v>25</v>
      </c>
      <c r="F14" s="82">
        <v>80</v>
      </c>
      <c r="G14" s="82">
        <v>37.5</v>
      </c>
      <c r="H14" s="89">
        <f t="shared" si="0"/>
        <v>48.125</v>
      </c>
      <c r="I14" s="82">
        <f t="shared" si="4"/>
        <v>87.5</v>
      </c>
      <c r="J14">
        <v>80</v>
      </c>
      <c r="K14">
        <v>90</v>
      </c>
      <c r="L14">
        <v>70</v>
      </c>
      <c r="M14" s="89">
        <f t="shared" si="1"/>
        <v>81.875</v>
      </c>
      <c r="N14" s="88">
        <f t="shared" si="2"/>
        <v>0.6506024096385542</v>
      </c>
      <c r="O14" s="82" t="str">
        <f t="shared" si="3"/>
        <v>medium</v>
      </c>
    </row>
    <row r="15" spans="1:15">
      <c r="A15">
        <v>20070795007</v>
      </c>
      <c r="B15" t="s">
        <v>20</v>
      </c>
      <c r="C15" t="s">
        <v>70</v>
      </c>
      <c r="D15" s="82">
        <v>25</v>
      </c>
      <c r="E15" s="82">
        <v>25</v>
      </c>
      <c r="F15" s="82">
        <v>75</v>
      </c>
      <c r="G15" s="82">
        <v>25</v>
      </c>
      <c r="H15" s="89">
        <f t="shared" si="0"/>
        <v>37.5</v>
      </c>
      <c r="I15" s="82">
        <f t="shared" si="4"/>
        <v>87.5</v>
      </c>
      <c r="J15" s="82">
        <v>90</v>
      </c>
      <c r="K15" s="82">
        <v>87.5</v>
      </c>
      <c r="L15" s="82">
        <v>70</v>
      </c>
      <c r="M15" s="89">
        <f t="shared" si="1"/>
        <v>83.75</v>
      </c>
      <c r="N15" s="88">
        <f t="shared" si="2"/>
        <v>0.74</v>
      </c>
      <c r="O15" s="82" t="str">
        <f t="shared" si="3"/>
        <v>high</v>
      </c>
    </row>
    <row r="16" spans="1:15">
      <c r="A16">
        <v>20070795026</v>
      </c>
      <c r="B16" t="s">
        <v>21</v>
      </c>
      <c r="C16" t="s">
        <v>70</v>
      </c>
      <c r="D16" s="82">
        <v>40</v>
      </c>
      <c r="E16" s="82">
        <v>25</v>
      </c>
      <c r="F16" s="82">
        <v>80</v>
      </c>
      <c r="G16" s="82">
        <v>37.5</v>
      </c>
      <c r="H16" s="89">
        <f t="shared" si="0"/>
        <v>45.625</v>
      </c>
      <c r="I16" s="82">
        <f t="shared" si="4"/>
        <v>87.5</v>
      </c>
      <c r="J16" s="82">
        <v>90</v>
      </c>
      <c r="K16" s="82">
        <v>87.5</v>
      </c>
      <c r="L16" s="82">
        <v>80</v>
      </c>
      <c r="M16" s="89">
        <f t="shared" si="1"/>
        <v>86.25</v>
      </c>
      <c r="N16" s="88">
        <f t="shared" si="2"/>
        <v>0.74712643678160917</v>
      </c>
      <c r="O16" s="82" t="str">
        <f t="shared" si="3"/>
        <v>high</v>
      </c>
    </row>
    <row r="17" spans="1:15">
      <c r="A17">
        <v>20070795010</v>
      </c>
      <c r="B17" t="s">
        <v>22</v>
      </c>
      <c r="C17" t="s">
        <v>69</v>
      </c>
      <c r="D17" s="82">
        <v>25</v>
      </c>
      <c r="E17" s="82">
        <v>40</v>
      </c>
      <c r="F17" s="82">
        <v>87.5</v>
      </c>
      <c r="G17" s="82">
        <v>50</v>
      </c>
      <c r="H17" s="89">
        <f t="shared" si="0"/>
        <v>50.625</v>
      </c>
      <c r="I17" s="86">
        <f>100*3.5/4</f>
        <v>87.5</v>
      </c>
      <c r="J17">
        <v>75</v>
      </c>
      <c r="K17">
        <v>87.5</v>
      </c>
      <c r="L17">
        <v>80</v>
      </c>
      <c r="M17" s="89">
        <f t="shared" si="1"/>
        <v>82.5</v>
      </c>
      <c r="N17" s="88">
        <f t="shared" si="2"/>
        <v>0.64556962025316456</v>
      </c>
      <c r="O17" s="82" t="str">
        <f t="shared" si="3"/>
        <v>medium</v>
      </c>
    </row>
    <row r="18" spans="1:15">
      <c r="A18">
        <v>20070795013</v>
      </c>
      <c r="B18" t="s">
        <v>23</v>
      </c>
      <c r="C18" t="s">
        <v>69</v>
      </c>
      <c r="D18" s="82">
        <v>40</v>
      </c>
      <c r="E18" s="82">
        <v>25</v>
      </c>
      <c r="F18" s="82">
        <v>50</v>
      </c>
      <c r="G18" s="82">
        <v>37.5</v>
      </c>
      <c r="H18" s="89">
        <f t="shared" si="0"/>
        <v>38.125</v>
      </c>
      <c r="I18" s="82">
        <f t="shared" si="4"/>
        <v>87.5</v>
      </c>
      <c r="J18" s="82">
        <v>75</v>
      </c>
      <c r="K18" s="82">
        <v>87.5</v>
      </c>
      <c r="L18" s="82">
        <v>75</v>
      </c>
      <c r="M18" s="89">
        <f t="shared" si="1"/>
        <v>81.25</v>
      </c>
      <c r="N18" s="88">
        <f t="shared" si="2"/>
        <v>0.69696969696969702</v>
      </c>
      <c r="O18" s="82" t="str">
        <f t="shared" si="3"/>
        <v>medium</v>
      </c>
    </row>
    <row r="19" spans="1:15">
      <c r="A19">
        <v>20070795017</v>
      </c>
      <c r="B19" t="s">
        <v>24</v>
      </c>
      <c r="C19" t="s">
        <v>70</v>
      </c>
      <c r="D19" s="82">
        <v>50</v>
      </c>
      <c r="E19" s="82">
        <v>25</v>
      </c>
      <c r="F19" s="82">
        <v>75</v>
      </c>
      <c r="G19" s="82">
        <v>37.5</v>
      </c>
      <c r="H19" s="89">
        <f t="shared" si="0"/>
        <v>46.875</v>
      </c>
      <c r="I19">
        <v>90</v>
      </c>
      <c r="J19">
        <v>90</v>
      </c>
      <c r="K19">
        <v>90</v>
      </c>
      <c r="L19">
        <v>80</v>
      </c>
      <c r="M19" s="89">
        <f t="shared" si="1"/>
        <v>87.5</v>
      </c>
      <c r="N19" s="88">
        <f t="shared" si="2"/>
        <v>0.76470588235294112</v>
      </c>
      <c r="O19" s="82" t="str">
        <f t="shared" si="3"/>
        <v>high</v>
      </c>
    </row>
    <row r="20" spans="1:15">
      <c r="A20" t="s">
        <v>86</v>
      </c>
      <c r="C20" s="87" t="s">
        <v>96</v>
      </c>
      <c r="D20" s="89">
        <f>AVERAGE(D7:D19)</f>
        <v>37.115384615384613</v>
      </c>
      <c r="E20" s="89">
        <f t="shared" ref="E20:G20" si="5">AVERAGE(E7:E19)</f>
        <v>26.53846153846154</v>
      </c>
      <c r="F20" s="89">
        <f t="shared" si="5"/>
        <v>71.538461538461533</v>
      </c>
      <c r="G20" s="89">
        <f t="shared" si="5"/>
        <v>32.692307692307693</v>
      </c>
      <c r="H20" s="89">
        <f t="shared" ref="H20" si="6">AVERAGE(H7:H19)</f>
        <v>41.971153846153847</v>
      </c>
      <c r="I20" s="89">
        <f t="shared" ref="I20" si="7">AVERAGE(I7:I19)</f>
        <v>86.34615384615384</v>
      </c>
      <c r="J20" s="89">
        <f t="shared" ref="J20" si="8">AVERAGE(J7:J19)</f>
        <v>84.615384615384613</v>
      </c>
      <c r="K20" s="89">
        <f t="shared" ref="K20" si="9">AVERAGE(K7:K19)</f>
        <v>86.34615384615384</v>
      </c>
      <c r="L20" s="89">
        <f t="shared" ref="L20" si="10">AVERAGE(L7:L19)</f>
        <v>75</v>
      </c>
      <c r="M20" s="89">
        <f t="shared" ref="M20:N20" si="11">AVERAGE(M7:M19)</f>
        <v>83.07692307692308</v>
      </c>
      <c r="N20" s="88">
        <f t="shared" si="11"/>
        <v>0.70654841777445898</v>
      </c>
      <c r="O20" s="82" t="str">
        <f t="shared" si="3"/>
        <v>high</v>
      </c>
    </row>
    <row r="21" spans="1:15">
      <c r="C21" s="87" t="s">
        <v>95</v>
      </c>
      <c r="D21" s="88">
        <f>STDEV(D7:D19)</f>
        <v>11.629978944796511</v>
      </c>
      <c r="E21" s="88">
        <f t="shared" ref="E21:N21" si="12">STDEV(E7:E19)</f>
        <v>10.079809725513876</v>
      </c>
      <c r="F21" s="88">
        <f t="shared" si="12"/>
        <v>15.018684943625962</v>
      </c>
      <c r="G21" s="88">
        <f t="shared" si="12"/>
        <v>8.1305454448498846</v>
      </c>
      <c r="H21" s="88">
        <f t="shared" si="12"/>
        <v>8.4349770681979752</v>
      </c>
      <c r="I21" s="88">
        <f t="shared" si="12"/>
        <v>4.1602514716892181</v>
      </c>
      <c r="J21" s="88">
        <f t="shared" si="12"/>
        <v>7.2057669212289213</v>
      </c>
      <c r="K21" s="88">
        <f t="shared" si="12"/>
        <v>4.853626716970755</v>
      </c>
      <c r="L21" s="88">
        <f t="shared" si="12"/>
        <v>4.5643546458763842</v>
      </c>
      <c r="M21" s="88">
        <f>STDEV(M7:M19)</f>
        <v>3.3117288652489472</v>
      </c>
      <c r="N21" s="88">
        <f t="shared" si="12"/>
        <v>5.0684753960155288E-2</v>
      </c>
    </row>
    <row r="22" spans="1:15">
      <c r="E22" s="133" t="s">
        <v>103</v>
      </c>
      <c r="F22" s="132" t="s">
        <v>102</v>
      </c>
      <c r="G22" s="132"/>
      <c r="H22" s="132"/>
      <c r="I22" s="132"/>
    </row>
    <row r="23" spans="1:15">
      <c r="E23" s="133"/>
      <c r="F23" s="74">
        <v>1</v>
      </c>
      <c r="G23" s="74">
        <v>2</v>
      </c>
      <c r="H23" s="74">
        <v>3</v>
      </c>
      <c r="I23" s="74">
        <v>4</v>
      </c>
      <c r="K23" t="s">
        <v>98</v>
      </c>
      <c r="L23" t="s">
        <v>99</v>
      </c>
      <c r="M23" t="s">
        <v>100</v>
      </c>
      <c r="N23" t="s">
        <v>101</v>
      </c>
    </row>
    <row r="24" spans="1:15">
      <c r="A24">
        <v>1</v>
      </c>
      <c r="B24" t="s">
        <v>90</v>
      </c>
      <c r="E24" s="87" t="s">
        <v>75</v>
      </c>
      <c r="F24" s="89">
        <v>37.115384615384613</v>
      </c>
      <c r="G24" s="89">
        <v>26.53846153846154</v>
      </c>
      <c r="H24" s="89">
        <v>71.538461538461533</v>
      </c>
      <c r="I24" s="89">
        <v>32.692307692307693</v>
      </c>
      <c r="J24" s="88"/>
      <c r="K24">
        <f>(F25-F24)/(100-F24)</f>
        <v>0.78287461773700295</v>
      </c>
      <c r="L24" s="84">
        <f t="shared" ref="L24:N24" si="13">(G25-G24)/(100-G24)</f>
        <v>0.79057591623036649</v>
      </c>
      <c r="M24" s="84">
        <f t="shared" si="13"/>
        <v>0.52027027027027017</v>
      </c>
      <c r="N24" s="84">
        <f t="shared" si="13"/>
        <v>0.62857142857142856</v>
      </c>
    </row>
    <row r="25" spans="1:15">
      <c r="A25">
        <v>2</v>
      </c>
      <c r="B25" t="s">
        <v>97</v>
      </c>
      <c r="E25" s="87" t="s">
        <v>93</v>
      </c>
      <c r="F25" s="89">
        <v>86.34615384615384</v>
      </c>
      <c r="G25" s="89">
        <v>84.615384615384613</v>
      </c>
      <c r="H25" s="89">
        <v>86.34615384615384</v>
      </c>
      <c r="I25" s="89">
        <v>75</v>
      </c>
    </row>
    <row r="26" spans="1:15">
      <c r="A26">
        <v>3</v>
      </c>
      <c r="B26" t="s">
        <v>91</v>
      </c>
      <c r="E26" t="s">
        <v>35</v>
      </c>
      <c r="F26" s="88">
        <f>(F25-F24)/(100-F24)</f>
        <v>0.78287461773700295</v>
      </c>
      <c r="G26" s="88">
        <f t="shared" ref="G26:I26" si="14">(G25-G24)/(100-G24)</f>
        <v>0.79057591623036649</v>
      </c>
      <c r="H26" s="88">
        <f t="shared" si="14"/>
        <v>0.52027027027027017</v>
      </c>
      <c r="I26" s="88">
        <f t="shared" si="14"/>
        <v>0.62857142857142856</v>
      </c>
    </row>
    <row r="27" spans="1:15">
      <c r="A27">
        <v>4</v>
      </c>
      <c r="B27" t="s">
        <v>92</v>
      </c>
    </row>
    <row r="30" spans="1:15">
      <c r="B30" s="87" t="s">
        <v>94</v>
      </c>
    </row>
  </sheetData>
  <mergeCells count="2">
    <mergeCell ref="F22:I22"/>
    <mergeCell ref="E22:E23"/>
  </mergeCells>
  <pageMargins left="0.7" right="0.7" top="0.75" bottom="0.75" header="0.3" footer="0.3"/>
  <pageSetup paperSize="0" orientation="portrait" horizontalDpi="0" verticalDpi="0" copie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T20"/>
  <sheetViews>
    <sheetView workbookViewId="0">
      <selection sqref="A1:T1"/>
    </sheetView>
  </sheetViews>
  <sheetFormatPr defaultColWidth="14.42578125" defaultRowHeight="15.75" customHeight="1"/>
  <cols>
    <col min="1" max="2" width="28.42578125" customWidth="1"/>
    <col min="3" max="20" width="7.28515625" customWidth="1"/>
  </cols>
  <sheetData>
    <row r="1" spans="1:20" ht="12.75">
      <c r="A1" s="105" t="s">
        <v>76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</row>
    <row r="2" spans="1:20" ht="12.75">
      <c r="A2" s="127" t="s">
        <v>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</row>
    <row r="4" spans="1:20" ht="12.75">
      <c r="A4" s="106" t="s">
        <v>2</v>
      </c>
      <c r="B4" s="106" t="s">
        <v>3</v>
      </c>
      <c r="C4" s="108" t="s">
        <v>32</v>
      </c>
      <c r="D4" s="102"/>
      <c r="E4" s="102"/>
      <c r="F4" s="102"/>
      <c r="G4" s="102"/>
      <c r="H4" s="102"/>
      <c r="I4" s="102"/>
      <c r="J4" s="102"/>
      <c r="K4" s="102"/>
      <c r="L4" s="98"/>
      <c r="M4" s="54"/>
      <c r="N4" s="54"/>
      <c r="O4" s="54"/>
      <c r="P4" s="54"/>
      <c r="Q4" s="54"/>
      <c r="R4" s="109" t="s">
        <v>5</v>
      </c>
      <c r="S4" s="110"/>
    </row>
    <row r="5" spans="1:20" ht="12.75">
      <c r="A5" s="104"/>
      <c r="B5" s="104"/>
      <c r="C5" s="55">
        <v>1</v>
      </c>
      <c r="D5" s="55">
        <v>2</v>
      </c>
      <c r="E5" s="55">
        <v>3</v>
      </c>
      <c r="F5" s="55">
        <v>4</v>
      </c>
      <c r="G5" s="55">
        <v>5</v>
      </c>
      <c r="H5" s="55">
        <v>6</v>
      </c>
      <c r="I5" s="55">
        <v>7</v>
      </c>
      <c r="J5" s="55">
        <v>8</v>
      </c>
      <c r="K5" s="55">
        <v>9</v>
      </c>
      <c r="L5" s="55">
        <v>10</v>
      </c>
      <c r="M5" s="55">
        <v>11</v>
      </c>
      <c r="N5" s="55">
        <v>12</v>
      </c>
      <c r="O5" s="55">
        <v>13</v>
      </c>
      <c r="P5" s="55">
        <v>14</v>
      </c>
      <c r="Q5" s="55">
        <v>15</v>
      </c>
      <c r="R5" s="104"/>
      <c r="S5" s="96"/>
    </row>
    <row r="6" spans="1:20" ht="15.75" customHeight="1">
      <c r="A6" s="3">
        <v>20070795027</v>
      </c>
      <c r="B6" s="4" t="s">
        <v>12</v>
      </c>
      <c r="C6" s="56">
        <f>IF(AND('Mentah Perbaikan UTS'!C7='Mentah Perbaikan UTS'!C$6,'Mentah Perbaikan UTS'!R7="B"),4,IF(AND('Mentah Perbaikan UTS'!C7='Mentah Perbaikan UTS'!C$6,'Mentah Perbaikan UTS'!R7="S"),3,IF(AND('Mentah Perbaikan UTS'!C7&lt;&gt;'Mentah Perbaikan UTS'!C$6,'Mentah Perbaikan UTS'!R7="B"),2,IF(AND('Mentah Perbaikan UTS'!C7&lt;&gt;'Mentah Perbaikan UTS'!C$6,'Mentah Perbaikan UTS'!R7="S"),1,0))))</f>
        <v>4</v>
      </c>
      <c r="D6" s="56">
        <f>IF(AND('Mentah Perbaikan UTS'!D7='Mentah Perbaikan UTS'!D$6,'Mentah Perbaikan UTS'!S7="B"),4,IF(AND('Mentah Perbaikan UTS'!D7='Mentah Perbaikan UTS'!D$6,'Mentah Perbaikan UTS'!S7="S"),3,IF(AND('Mentah Perbaikan UTS'!D7&lt;&gt;'Mentah Perbaikan UTS'!D$6,'Mentah Perbaikan UTS'!S7="B"),2,IF(AND('Mentah Perbaikan UTS'!D7&lt;&gt;'Mentah Perbaikan UTS'!D$6,'Mentah Perbaikan UTS'!S7="S"),1,0))))</f>
        <v>4</v>
      </c>
      <c r="E6" s="56">
        <f>IF(AND('Mentah Perbaikan UTS'!E7='Mentah Perbaikan UTS'!E$6,'Mentah Perbaikan UTS'!T7="B"),4,IF(AND('Mentah Perbaikan UTS'!E7='Mentah Perbaikan UTS'!E$6,'Mentah Perbaikan UTS'!T7="S"),3,IF(AND('Mentah Perbaikan UTS'!E7&lt;&gt;'Mentah Perbaikan UTS'!E$6,'Mentah Perbaikan UTS'!T7="B"),2,IF(AND('Mentah Perbaikan UTS'!E7&lt;&gt;'Mentah Perbaikan UTS'!E$6,'Mentah Perbaikan UTS'!T7="S"),1,0))))</f>
        <v>2</v>
      </c>
      <c r="F6" s="56">
        <f>IF(AND('Mentah Perbaikan UTS'!F7='Mentah Perbaikan UTS'!F$6,'Mentah Perbaikan UTS'!U7="B"),4,IF(AND('Mentah Perbaikan UTS'!F7='Mentah Perbaikan UTS'!F$6,'Mentah Perbaikan UTS'!U7="S"),3,IF(AND('Mentah Perbaikan UTS'!F7&lt;&gt;'Mentah Perbaikan UTS'!F$6,'Mentah Perbaikan UTS'!U7="B"),2,IF(AND('Mentah Perbaikan UTS'!F7&lt;&gt;'Mentah Perbaikan UTS'!F$6,'Mentah Perbaikan UTS'!U7="S"),1,0))))</f>
        <v>4</v>
      </c>
      <c r="G6" s="56">
        <f>IF(AND('Mentah Perbaikan UTS'!G7='Mentah Perbaikan UTS'!G$6,'Mentah Perbaikan UTS'!V7="B"),4,IF(AND('Mentah Perbaikan UTS'!G7='Mentah Perbaikan UTS'!G$6,'Mentah Perbaikan UTS'!V7="S"),3,IF(AND('Mentah Perbaikan UTS'!G7&lt;&gt;'Mentah Perbaikan UTS'!G$6,'Mentah Perbaikan UTS'!V7="B"),2,IF(AND('Mentah Perbaikan UTS'!G7&lt;&gt;'Mentah Perbaikan UTS'!G$6,'Mentah Perbaikan UTS'!V7="S"),1,0))))</f>
        <v>4</v>
      </c>
      <c r="H6" s="56">
        <f>IF(AND('Mentah Perbaikan UTS'!H7='Mentah Perbaikan UTS'!H$6,'Mentah Perbaikan UTS'!W7="B"),4,IF(AND('Mentah Perbaikan UTS'!H7='Mentah Perbaikan UTS'!H$6,'Mentah Perbaikan UTS'!W7="S"),3,IF(AND('Mentah Perbaikan UTS'!H7&lt;&gt;'Mentah Perbaikan UTS'!H$6,'Mentah Perbaikan UTS'!W7="B"),2,IF(AND('Mentah Perbaikan UTS'!H7&lt;&gt;'Mentah Perbaikan UTS'!H$6,'Mentah Perbaikan UTS'!W7="S"),1,0))))</f>
        <v>1</v>
      </c>
      <c r="I6" s="56">
        <f>IF(AND('Mentah Perbaikan UTS'!I7='Mentah Perbaikan UTS'!I$6,'Mentah Perbaikan UTS'!X7="B"),4,IF(AND('Mentah Perbaikan UTS'!I7='Mentah Perbaikan UTS'!I$6,'Mentah Perbaikan UTS'!X7="S"),3,IF(AND('Mentah Perbaikan UTS'!I7&lt;&gt;'Mentah Perbaikan UTS'!I$6,'Mentah Perbaikan UTS'!X7="B"),2,IF(AND('Mentah Perbaikan UTS'!I7&lt;&gt;'Mentah Perbaikan UTS'!I$6,'Mentah Perbaikan UTS'!X7="S"),1,0))))</f>
        <v>4</v>
      </c>
      <c r="J6" s="56">
        <f>IF(AND('Mentah Perbaikan UTS'!J7='Mentah Perbaikan UTS'!J$6,'Mentah Perbaikan UTS'!Y7="B"),4,IF(AND('Mentah Perbaikan UTS'!J7='Mentah Perbaikan UTS'!J$6,'Mentah Perbaikan UTS'!Y7="S"),3,IF(AND('Mentah Perbaikan UTS'!J7&lt;&gt;'Mentah Perbaikan UTS'!J$6,'Mentah Perbaikan UTS'!Y7="B"),2,IF(AND('Mentah Perbaikan UTS'!J7&lt;&gt;'Mentah Perbaikan UTS'!J$6,'Mentah Perbaikan UTS'!Y7="S"),1,0))))</f>
        <v>3</v>
      </c>
      <c r="K6" s="56">
        <f>IF(AND('Mentah Perbaikan UTS'!K7='Mentah Perbaikan UTS'!K$6,'Mentah Perbaikan UTS'!Z7="B"),4,IF(AND('Mentah Perbaikan UTS'!K7='Mentah Perbaikan UTS'!K$6,'Mentah Perbaikan UTS'!Z7="S"),3,IF(AND('Mentah Perbaikan UTS'!K7&lt;&gt;'Mentah Perbaikan UTS'!K$6,'Mentah Perbaikan UTS'!Z7="B"),2,IF(AND('Mentah Perbaikan UTS'!K7&lt;&gt;'Mentah Perbaikan UTS'!K$6,'Mentah Perbaikan UTS'!Z7="S"),1,0))))</f>
        <v>3</v>
      </c>
      <c r="L6" s="56">
        <f>IF(AND('Mentah Perbaikan UTS'!L7='Mentah Perbaikan UTS'!L$6,'Mentah Perbaikan UTS'!AA7="B"),4,IF(AND('Mentah Perbaikan UTS'!L7='Mentah Perbaikan UTS'!L$6,'Mentah Perbaikan UTS'!AA7="S"),3,IF(AND('Mentah Perbaikan UTS'!L7&lt;&gt;'Mentah Perbaikan UTS'!L$6,'Mentah Perbaikan UTS'!AA7="B"),2,IF(AND('Mentah Perbaikan UTS'!L7&lt;&gt;'Mentah Perbaikan UTS'!L$6,'Mentah Perbaikan UTS'!AA7="S"),1,0))))</f>
        <v>1</v>
      </c>
      <c r="M6" s="56">
        <f>IF(AND('Mentah Perbaikan UTS'!M7='Mentah Perbaikan UTS'!M$6,'Mentah Perbaikan UTS'!AB7="B"),4,IF(AND('Mentah Perbaikan UTS'!M7='Mentah Perbaikan UTS'!M$6,'Mentah Perbaikan UTS'!AB7="S"),3,IF(AND('Mentah Perbaikan UTS'!M7&lt;&gt;'Mentah Perbaikan UTS'!M$6,'Mentah Perbaikan UTS'!AB7="B"),2,IF(AND('Mentah Perbaikan UTS'!M7&lt;&gt;'Mentah Perbaikan UTS'!M$6,'Mentah Perbaikan UTS'!AB7="S"),1,0))))</f>
        <v>1</v>
      </c>
      <c r="N6" s="56">
        <f>IF(AND('Mentah Perbaikan UTS'!N7='Mentah Perbaikan UTS'!N$6,'Mentah Perbaikan UTS'!AC7="B"),4,IF(AND('Mentah Perbaikan UTS'!N7='Mentah Perbaikan UTS'!N$6,'Mentah Perbaikan UTS'!AC7="S"),3,IF(AND('Mentah Perbaikan UTS'!N7&lt;&gt;'Mentah Perbaikan UTS'!N$6,'Mentah Perbaikan UTS'!AC7="B"),2,IF(AND('Mentah Perbaikan UTS'!N7&lt;&gt;'Mentah Perbaikan UTS'!N$6,'Mentah Perbaikan UTS'!AC7="S"),1,0))))</f>
        <v>3</v>
      </c>
      <c r="O6" s="56">
        <f>IF(AND('Mentah Perbaikan UTS'!O7='Mentah Perbaikan UTS'!O$6,'Mentah Perbaikan UTS'!AD7="B"),4,IF(AND('Mentah Perbaikan UTS'!O7='Mentah Perbaikan UTS'!O$6,'Mentah Perbaikan UTS'!AD7="S"),3,IF(AND('Mentah Perbaikan UTS'!O7&lt;&gt;'Mentah Perbaikan UTS'!O$6,'Mentah Perbaikan UTS'!AD7="B"),2,IF(AND('Mentah Perbaikan UTS'!O7&lt;&gt;'Mentah Perbaikan UTS'!O$6,'Mentah Perbaikan UTS'!AD7="S"),1,0))))</f>
        <v>4</v>
      </c>
      <c r="P6" s="56">
        <f>IF(AND('Mentah Perbaikan UTS'!P7='Mentah Perbaikan UTS'!P$6,'Mentah Perbaikan UTS'!AE7="B"),4,IF(AND('Mentah Perbaikan UTS'!P7='Mentah Perbaikan UTS'!P$6,'Mentah Perbaikan UTS'!AE7="S"),3,IF(AND('Mentah Perbaikan UTS'!P7&lt;&gt;'Mentah Perbaikan UTS'!P$6,'Mentah Perbaikan UTS'!AE7="B"),2,IF(AND('Mentah Perbaikan UTS'!P7&lt;&gt;'Mentah Perbaikan UTS'!P$6,'Mentah Perbaikan UTS'!AE7="S"),1,0))))</f>
        <v>1</v>
      </c>
      <c r="Q6" s="56">
        <f>IF(AND('Mentah Perbaikan UTS'!Q7='Mentah Perbaikan UTS'!Q$6,'Mentah Perbaikan UTS'!AF7="B"),4,IF(AND('Mentah Perbaikan UTS'!Q7='Mentah Perbaikan UTS'!Q$6,'Mentah Perbaikan UTS'!AF7="S"),3,IF(AND('Mentah Perbaikan UTS'!Q7&lt;&gt;'Mentah Perbaikan UTS'!Q$6,'Mentah Perbaikan UTS'!AF7="B"),2,IF(AND('Mentah Perbaikan UTS'!Q7&lt;&gt;'Mentah Perbaikan UTS'!Q$6,'Mentah Perbaikan UTS'!AF7="S"),1,0))))</f>
        <v>1</v>
      </c>
      <c r="R6" s="57">
        <f t="shared" ref="R6:R18" si="0">SUM(C6:Q6)/60*100</f>
        <v>66.666666666666657</v>
      </c>
    </row>
    <row r="7" spans="1:20" ht="15.75" customHeight="1">
      <c r="A7" s="3">
        <v>20070795014</v>
      </c>
      <c r="B7" s="9" t="s">
        <v>13</v>
      </c>
      <c r="C7" s="56">
        <f>IF(AND('Mentah Perbaikan UTS'!C8='Mentah Perbaikan UTS'!C$6,'Mentah Perbaikan UTS'!R8="B"),4,IF(AND('Mentah Perbaikan UTS'!C8='Mentah Perbaikan UTS'!C$6,'Mentah Perbaikan UTS'!R8="S"),3,IF(AND('Mentah Perbaikan UTS'!C8&lt;&gt;'Mentah Perbaikan UTS'!C$6,'Mentah Perbaikan UTS'!R8="B"),2,IF(AND('Mentah Perbaikan UTS'!C8&lt;&gt;'Mentah Perbaikan UTS'!C$6,'Mentah Perbaikan UTS'!R8="S"),1,0))))</f>
        <v>4</v>
      </c>
      <c r="D7" s="56">
        <f>IF(AND('Mentah Perbaikan UTS'!D8='Mentah Perbaikan UTS'!D$6,'Mentah Perbaikan UTS'!S8="B"),4,IF(AND('Mentah Perbaikan UTS'!D8='Mentah Perbaikan UTS'!D$6,'Mentah Perbaikan UTS'!S8="S"),3,IF(AND('Mentah Perbaikan UTS'!D8&lt;&gt;'Mentah Perbaikan UTS'!D$6,'Mentah Perbaikan UTS'!S8="B"),2,IF(AND('Mentah Perbaikan UTS'!D8&lt;&gt;'Mentah Perbaikan UTS'!D$6,'Mentah Perbaikan UTS'!S8="S"),1,0))))</f>
        <v>4</v>
      </c>
      <c r="E7" s="56">
        <f>IF(AND('Mentah Perbaikan UTS'!E8='Mentah Perbaikan UTS'!E$6,'Mentah Perbaikan UTS'!T8="B"),4,IF(AND('Mentah Perbaikan UTS'!E8='Mentah Perbaikan UTS'!E$6,'Mentah Perbaikan UTS'!T8="S"),3,IF(AND('Mentah Perbaikan UTS'!E8&lt;&gt;'Mentah Perbaikan UTS'!E$6,'Mentah Perbaikan UTS'!T8="B"),2,IF(AND('Mentah Perbaikan UTS'!E8&lt;&gt;'Mentah Perbaikan UTS'!E$6,'Mentah Perbaikan UTS'!T8="S"),1,0))))</f>
        <v>1</v>
      </c>
      <c r="F7" s="56">
        <f>IF(AND('Mentah Perbaikan UTS'!F8='Mentah Perbaikan UTS'!F$6,'Mentah Perbaikan UTS'!U8="B"),4,IF(AND('Mentah Perbaikan UTS'!F8='Mentah Perbaikan UTS'!F$6,'Mentah Perbaikan UTS'!U8="S"),3,IF(AND('Mentah Perbaikan UTS'!F8&lt;&gt;'Mentah Perbaikan UTS'!F$6,'Mentah Perbaikan UTS'!U8="B"),2,IF(AND('Mentah Perbaikan UTS'!F8&lt;&gt;'Mentah Perbaikan UTS'!F$6,'Mentah Perbaikan UTS'!U8="S"),1,0))))</f>
        <v>1</v>
      </c>
      <c r="G7" s="56">
        <f>IF(AND('Mentah Perbaikan UTS'!G8='Mentah Perbaikan UTS'!G$6,'Mentah Perbaikan UTS'!V8="B"),4,IF(AND('Mentah Perbaikan UTS'!G8='Mentah Perbaikan UTS'!G$6,'Mentah Perbaikan UTS'!V8="S"),3,IF(AND('Mentah Perbaikan UTS'!G8&lt;&gt;'Mentah Perbaikan UTS'!G$6,'Mentah Perbaikan UTS'!V8="B"),2,IF(AND('Mentah Perbaikan UTS'!G8&lt;&gt;'Mentah Perbaikan UTS'!G$6,'Mentah Perbaikan UTS'!V8="S"),1,0))))</f>
        <v>4</v>
      </c>
      <c r="H7" s="56">
        <f>IF(AND('Mentah Perbaikan UTS'!H8='Mentah Perbaikan UTS'!H$6,'Mentah Perbaikan UTS'!W8="B"),4,IF(AND('Mentah Perbaikan UTS'!H8='Mentah Perbaikan UTS'!H$6,'Mentah Perbaikan UTS'!W8="S"),3,IF(AND('Mentah Perbaikan UTS'!H8&lt;&gt;'Mentah Perbaikan UTS'!H$6,'Mentah Perbaikan UTS'!W8="B"),2,IF(AND('Mentah Perbaikan UTS'!H8&lt;&gt;'Mentah Perbaikan UTS'!H$6,'Mentah Perbaikan UTS'!W8="S"),1,0))))</f>
        <v>2</v>
      </c>
      <c r="I7" s="56">
        <f>IF(AND('Mentah Perbaikan UTS'!I8='Mentah Perbaikan UTS'!I$6,'Mentah Perbaikan UTS'!X8="B"),4,IF(AND('Mentah Perbaikan UTS'!I8='Mentah Perbaikan UTS'!I$6,'Mentah Perbaikan UTS'!X8="S"),3,IF(AND('Mentah Perbaikan UTS'!I8&lt;&gt;'Mentah Perbaikan UTS'!I$6,'Mentah Perbaikan UTS'!X8="B"),2,IF(AND('Mentah Perbaikan UTS'!I8&lt;&gt;'Mentah Perbaikan UTS'!I$6,'Mentah Perbaikan UTS'!X8="S"),1,0))))</f>
        <v>4</v>
      </c>
      <c r="J7" s="56">
        <f>IF(AND('Mentah Perbaikan UTS'!J8='Mentah Perbaikan UTS'!J$6,'Mentah Perbaikan UTS'!Y8="B"),4,IF(AND('Mentah Perbaikan UTS'!J8='Mentah Perbaikan UTS'!J$6,'Mentah Perbaikan UTS'!Y8="S"),3,IF(AND('Mentah Perbaikan UTS'!J8&lt;&gt;'Mentah Perbaikan UTS'!J$6,'Mentah Perbaikan UTS'!Y8="B"),2,IF(AND('Mentah Perbaikan UTS'!J8&lt;&gt;'Mentah Perbaikan UTS'!J$6,'Mentah Perbaikan UTS'!Y8="S"),1,0))))</f>
        <v>4</v>
      </c>
      <c r="K7" s="56">
        <f>IF(AND('Mentah Perbaikan UTS'!K8='Mentah Perbaikan UTS'!K$6,'Mentah Perbaikan UTS'!Z8="B"),4,IF(AND('Mentah Perbaikan UTS'!K8='Mentah Perbaikan UTS'!K$6,'Mentah Perbaikan UTS'!Z8="S"),3,IF(AND('Mentah Perbaikan UTS'!K8&lt;&gt;'Mentah Perbaikan UTS'!K$6,'Mentah Perbaikan UTS'!Z8="B"),2,IF(AND('Mentah Perbaikan UTS'!K8&lt;&gt;'Mentah Perbaikan UTS'!K$6,'Mentah Perbaikan UTS'!Z8="S"),1,0))))</f>
        <v>3</v>
      </c>
      <c r="L7" s="56">
        <f>IF(AND('Mentah Perbaikan UTS'!L8='Mentah Perbaikan UTS'!L$6,'Mentah Perbaikan UTS'!AA8="B"),4,IF(AND('Mentah Perbaikan UTS'!L8='Mentah Perbaikan UTS'!L$6,'Mentah Perbaikan UTS'!AA8="S"),3,IF(AND('Mentah Perbaikan UTS'!L8&lt;&gt;'Mentah Perbaikan UTS'!L$6,'Mentah Perbaikan UTS'!AA8="B"),2,IF(AND('Mentah Perbaikan UTS'!L8&lt;&gt;'Mentah Perbaikan UTS'!L$6,'Mentah Perbaikan UTS'!AA8="S"),1,0))))</f>
        <v>2</v>
      </c>
      <c r="M7" s="56">
        <f>IF(AND('Mentah Perbaikan UTS'!M8='Mentah Perbaikan UTS'!M$6,'Mentah Perbaikan UTS'!AB8="B"),4,IF(AND('Mentah Perbaikan UTS'!M8='Mentah Perbaikan UTS'!M$6,'Mentah Perbaikan UTS'!AB8="S"),3,IF(AND('Mentah Perbaikan UTS'!M8&lt;&gt;'Mentah Perbaikan UTS'!M$6,'Mentah Perbaikan UTS'!AB8="B"),2,IF(AND('Mentah Perbaikan UTS'!M8&lt;&gt;'Mentah Perbaikan UTS'!M$6,'Mentah Perbaikan UTS'!AB8="S"),1,0))))</f>
        <v>1</v>
      </c>
      <c r="N7" s="56">
        <f>IF(AND('Mentah Perbaikan UTS'!N8='Mentah Perbaikan UTS'!N$6,'Mentah Perbaikan UTS'!AC8="B"),4,IF(AND('Mentah Perbaikan UTS'!N8='Mentah Perbaikan UTS'!N$6,'Mentah Perbaikan UTS'!AC8="S"),3,IF(AND('Mentah Perbaikan UTS'!N8&lt;&gt;'Mentah Perbaikan UTS'!N$6,'Mentah Perbaikan UTS'!AC8="B"),2,IF(AND('Mentah Perbaikan UTS'!N8&lt;&gt;'Mentah Perbaikan UTS'!N$6,'Mentah Perbaikan UTS'!AC8="S"),1,0))))</f>
        <v>1</v>
      </c>
      <c r="O7" s="56">
        <f>IF(AND('Mentah Perbaikan UTS'!O8='Mentah Perbaikan UTS'!O$6,'Mentah Perbaikan UTS'!AD8="B"),4,IF(AND('Mentah Perbaikan UTS'!O8='Mentah Perbaikan UTS'!O$6,'Mentah Perbaikan UTS'!AD8="S"),3,IF(AND('Mentah Perbaikan UTS'!O8&lt;&gt;'Mentah Perbaikan UTS'!O$6,'Mentah Perbaikan UTS'!AD8="B"),2,IF(AND('Mentah Perbaikan UTS'!O8&lt;&gt;'Mentah Perbaikan UTS'!O$6,'Mentah Perbaikan UTS'!AD8="S"),1,0))))</f>
        <v>3</v>
      </c>
      <c r="P7" s="56">
        <f>IF(AND('Mentah Perbaikan UTS'!P8='Mentah Perbaikan UTS'!P$6,'Mentah Perbaikan UTS'!AE8="B"),4,IF(AND('Mentah Perbaikan UTS'!P8='Mentah Perbaikan UTS'!P$6,'Mentah Perbaikan UTS'!AE8="S"),3,IF(AND('Mentah Perbaikan UTS'!P8&lt;&gt;'Mentah Perbaikan UTS'!P$6,'Mentah Perbaikan UTS'!AE8="B"),2,IF(AND('Mentah Perbaikan UTS'!P8&lt;&gt;'Mentah Perbaikan UTS'!P$6,'Mentah Perbaikan UTS'!AE8="S"),1,0))))</f>
        <v>1</v>
      </c>
      <c r="Q7" s="56">
        <f>IF(AND('Mentah Perbaikan UTS'!Q8='Mentah Perbaikan UTS'!Q$6,'Mentah Perbaikan UTS'!AF8="B"),4,IF(AND('Mentah Perbaikan UTS'!Q8='Mentah Perbaikan UTS'!Q$6,'Mentah Perbaikan UTS'!AF8="S"),3,IF(AND('Mentah Perbaikan UTS'!Q8&lt;&gt;'Mentah Perbaikan UTS'!Q$6,'Mentah Perbaikan UTS'!AF8="B"),2,IF(AND('Mentah Perbaikan UTS'!Q8&lt;&gt;'Mentah Perbaikan UTS'!Q$6,'Mentah Perbaikan UTS'!AF8="S"),1,0))))</f>
        <v>2</v>
      </c>
      <c r="R7" s="57">
        <f t="shared" si="0"/>
        <v>61.666666666666671</v>
      </c>
    </row>
    <row r="8" spans="1:20" ht="15.75" customHeight="1">
      <c r="A8" s="3">
        <v>20070795016</v>
      </c>
      <c r="B8" s="10" t="s">
        <v>14</v>
      </c>
      <c r="C8" s="56">
        <f>IF(AND('Mentah Perbaikan UTS'!C9='Mentah Perbaikan UTS'!C$6,'Mentah Perbaikan UTS'!R9="B"),4,IF(AND('Mentah Perbaikan UTS'!C9='Mentah Perbaikan UTS'!C$6,'Mentah Perbaikan UTS'!R9="S"),3,IF(AND('Mentah Perbaikan UTS'!C9&lt;&gt;'Mentah Perbaikan UTS'!C$6,'Mentah Perbaikan UTS'!R9="B"),2,IF(AND('Mentah Perbaikan UTS'!C9&lt;&gt;'Mentah Perbaikan UTS'!C$6,'Mentah Perbaikan UTS'!R9="S"),1,0))))</f>
        <v>3</v>
      </c>
      <c r="D8" s="56">
        <f>IF(AND('Mentah Perbaikan UTS'!D9='Mentah Perbaikan UTS'!D$6,'Mentah Perbaikan UTS'!S9="B"),4,IF(AND('Mentah Perbaikan UTS'!D9='Mentah Perbaikan UTS'!D$6,'Mentah Perbaikan UTS'!S9="S"),3,IF(AND('Mentah Perbaikan UTS'!D9&lt;&gt;'Mentah Perbaikan UTS'!D$6,'Mentah Perbaikan UTS'!S9="B"),2,IF(AND('Mentah Perbaikan UTS'!D9&lt;&gt;'Mentah Perbaikan UTS'!D$6,'Mentah Perbaikan UTS'!S9="S"),1,0))))</f>
        <v>3</v>
      </c>
      <c r="E8" s="56">
        <f>IF(AND('Mentah Perbaikan UTS'!E9='Mentah Perbaikan UTS'!E$6,'Mentah Perbaikan UTS'!T9="B"),4,IF(AND('Mentah Perbaikan UTS'!E9='Mentah Perbaikan UTS'!E$6,'Mentah Perbaikan UTS'!T9="S"),3,IF(AND('Mentah Perbaikan UTS'!E9&lt;&gt;'Mentah Perbaikan UTS'!E$6,'Mentah Perbaikan UTS'!T9="B"),2,IF(AND('Mentah Perbaikan UTS'!E9&lt;&gt;'Mentah Perbaikan UTS'!E$6,'Mentah Perbaikan UTS'!T9="S"),1,0))))</f>
        <v>1</v>
      </c>
      <c r="F8" s="56">
        <f>IF(AND('Mentah Perbaikan UTS'!F9='Mentah Perbaikan UTS'!F$6,'Mentah Perbaikan UTS'!U9="B"),4,IF(AND('Mentah Perbaikan UTS'!F9='Mentah Perbaikan UTS'!F$6,'Mentah Perbaikan UTS'!U9="S"),3,IF(AND('Mentah Perbaikan UTS'!F9&lt;&gt;'Mentah Perbaikan UTS'!F$6,'Mentah Perbaikan UTS'!U9="B"),2,IF(AND('Mentah Perbaikan UTS'!F9&lt;&gt;'Mentah Perbaikan UTS'!F$6,'Mentah Perbaikan UTS'!U9="S"),1,0))))</f>
        <v>4</v>
      </c>
      <c r="G8" s="56">
        <f>IF(AND('Mentah Perbaikan UTS'!G9='Mentah Perbaikan UTS'!G$6,'Mentah Perbaikan UTS'!V9="B"),4,IF(AND('Mentah Perbaikan UTS'!G9='Mentah Perbaikan UTS'!G$6,'Mentah Perbaikan UTS'!V9="S"),3,IF(AND('Mentah Perbaikan UTS'!G9&lt;&gt;'Mentah Perbaikan UTS'!G$6,'Mentah Perbaikan UTS'!V9="B"),2,IF(AND('Mentah Perbaikan UTS'!G9&lt;&gt;'Mentah Perbaikan UTS'!G$6,'Mentah Perbaikan UTS'!V9="S"),1,0))))</f>
        <v>4</v>
      </c>
      <c r="H8" s="56">
        <f>IF(AND('Mentah Perbaikan UTS'!H9='Mentah Perbaikan UTS'!H$6,'Mentah Perbaikan UTS'!W9="B"),4,IF(AND('Mentah Perbaikan UTS'!H9='Mentah Perbaikan UTS'!H$6,'Mentah Perbaikan UTS'!W9="S"),3,IF(AND('Mentah Perbaikan UTS'!H9&lt;&gt;'Mentah Perbaikan UTS'!H$6,'Mentah Perbaikan UTS'!W9="B"),2,IF(AND('Mentah Perbaikan UTS'!H9&lt;&gt;'Mentah Perbaikan UTS'!H$6,'Mentah Perbaikan UTS'!W9="S"),1,0))))</f>
        <v>2</v>
      </c>
      <c r="I8" s="56">
        <f>IF(AND('Mentah Perbaikan UTS'!I9='Mentah Perbaikan UTS'!I$6,'Mentah Perbaikan UTS'!X9="B"),4,IF(AND('Mentah Perbaikan UTS'!I9='Mentah Perbaikan UTS'!I$6,'Mentah Perbaikan UTS'!X9="S"),3,IF(AND('Mentah Perbaikan UTS'!I9&lt;&gt;'Mentah Perbaikan UTS'!I$6,'Mentah Perbaikan UTS'!X9="B"),2,IF(AND('Mentah Perbaikan UTS'!I9&lt;&gt;'Mentah Perbaikan UTS'!I$6,'Mentah Perbaikan UTS'!X9="S"),1,0))))</f>
        <v>4</v>
      </c>
      <c r="J8" s="56">
        <f>IF(AND('Mentah Perbaikan UTS'!J9='Mentah Perbaikan UTS'!J$6,'Mentah Perbaikan UTS'!Y9="B"),4,IF(AND('Mentah Perbaikan UTS'!J9='Mentah Perbaikan UTS'!J$6,'Mentah Perbaikan UTS'!Y9="S"),3,IF(AND('Mentah Perbaikan UTS'!J9&lt;&gt;'Mentah Perbaikan UTS'!J$6,'Mentah Perbaikan UTS'!Y9="B"),2,IF(AND('Mentah Perbaikan UTS'!J9&lt;&gt;'Mentah Perbaikan UTS'!J$6,'Mentah Perbaikan UTS'!Y9="S"),1,0))))</f>
        <v>4</v>
      </c>
      <c r="K8" s="56">
        <f>IF(AND('Mentah Perbaikan UTS'!K9='Mentah Perbaikan UTS'!K$6,'Mentah Perbaikan UTS'!Z9="B"),4,IF(AND('Mentah Perbaikan UTS'!K9='Mentah Perbaikan UTS'!K$6,'Mentah Perbaikan UTS'!Z9="S"),3,IF(AND('Mentah Perbaikan UTS'!K9&lt;&gt;'Mentah Perbaikan UTS'!K$6,'Mentah Perbaikan UTS'!Z9="B"),2,IF(AND('Mentah Perbaikan UTS'!K9&lt;&gt;'Mentah Perbaikan UTS'!K$6,'Mentah Perbaikan UTS'!Z9="S"),1,0))))</f>
        <v>3</v>
      </c>
      <c r="L8" s="56">
        <f>IF(AND('Mentah Perbaikan UTS'!L9='Mentah Perbaikan UTS'!L$6,'Mentah Perbaikan UTS'!AA9="B"),4,IF(AND('Mentah Perbaikan UTS'!L9='Mentah Perbaikan UTS'!L$6,'Mentah Perbaikan UTS'!AA9="S"),3,IF(AND('Mentah Perbaikan UTS'!L9&lt;&gt;'Mentah Perbaikan UTS'!L$6,'Mentah Perbaikan UTS'!AA9="B"),2,IF(AND('Mentah Perbaikan UTS'!L9&lt;&gt;'Mentah Perbaikan UTS'!L$6,'Mentah Perbaikan UTS'!AA9="S"),1,0))))</f>
        <v>1</v>
      </c>
      <c r="M8" s="56">
        <f>IF(AND('Mentah Perbaikan UTS'!M9='Mentah Perbaikan UTS'!M$6,'Mentah Perbaikan UTS'!AB9="B"),4,IF(AND('Mentah Perbaikan UTS'!M9='Mentah Perbaikan UTS'!M$6,'Mentah Perbaikan UTS'!AB9="S"),3,IF(AND('Mentah Perbaikan UTS'!M9&lt;&gt;'Mentah Perbaikan UTS'!M$6,'Mentah Perbaikan UTS'!AB9="B"),2,IF(AND('Mentah Perbaikan UTS'!M9&lt;&gt;'Mentah Perbaikan UTS'!M$6,'Mentah Perbaikan UTS'!AB9="S"),1,0))))</f>
        <v>3</v>
      </c>
      <c r="N8" s="56">
        <f>IF(AND('Mentah Perbaikan UTS'!N9='Mentah Perbaikan UTS'!N$6,'Mentah Perbaikan UTS'!AC9="B"),4,IF(AND('Mentah Perbaikan UTS'!N9='Mentah Perbaikan UTS'!N$6,'Mentah Perbaikan UTS'!AC9="S"),3,IF(AND('Mentah Perbaikan UTS'!N9&lt;&gt;'Mentah Perbaikan UTS'!N$6,'Mentah Perbaikan UTS'!AC9="B"),2,IF(AND('Mentah Perbaikan UTS'!N9&lt;&gt;'Mentah Perbaikan UTS'!N$6,'Mentah Perbaikan UTS'!AC9="S"),1,0))))</f>
        <v>1</v>
      </c>
      <c r="O8" s="56">
        <f>IF(AND('Mentah Perbaikan UTS'!O9='Mentah Perbaikan UTS'!O$6,'Mentah Perbaikan UTS'!AD9="B"),4,IF(AND('Mentah Perbaikan UTS'!O9='Mentah Perbaikan UTS'!O$6,'Mentah Perbaikan UTS'!AD9="S"),3,IF(AND('Mentah Perbaikan UTS'!O9&lt;&gt;'Mentah Perbaikan UTS'!O$6,'Mentah Perbaikan UTS'!AD9="B"),2,IF(AND('Mentah Perbaikan UTS'!O9&lt;&gt;'Mentah Perbaikan UTS'!O$6,'Mentah Perbaikan UTS'!AD9="S"),1,0))))</f>
        <v>3</v>
      </c>
      <c r="P8" s="56">
        <f>IF(AND('Mentah Perbaikan UTS'!P9='Mentah Perbaikan UTS'!P$6,'Mentah Perbaikan UTS'!AE9="B"),4,IF(AND('Mentah Perbaikan UTS'!P9='Mentah Perbaikan UTS'!P$6,'Mentah Perbaikan UTS'!AE9="S"),3,IF(AND('Mentah Perbaikan UTS'!P9&lt;&gt;'Mentah Perbaikan UTS'!P$6,'Mentah Perbaikan UTS'!AE9="B"),2,IF(AND('Mentah Perbaikan UTS'!P9&lt;&gt;'Mentah Perbaikan UTS'!P$6,'Mentah Perbaikan UTS'!AE9="S"),1,0))))</f>
        <v>4</v>
      </c>
      <c r="Q8" s="56">
        <f>IF(AND('Mentah Perbaikan UTS'!Q9='Mentah Perbaikan UTS'!Q$6,'Mentah Perbaikan UTS'!AF9="B"),4,IF(AND('Mentah Perbaikan UTS'!Q9='Mentah Perbaikan UTS'!Q$6,'Mentah Perbaikan UTS'!AF9="S"),3,IF(AND('Mentah Perbaikan UTS'!Q9&lt;&gt;'Mentah Perbaikan UTS'!Q$6,'Mentah Perbaikan UTS'!AF9="B"),2,IF(AND('Mentah Perbaikan UTS'!Q9&lt;&gt;'Mentah Perbaikan UTS'!Q$6,'Mentah Perbaikan UTS'!AF9="S"),1,0))))</f>
        <v>2</v>
      </c>
      <c r="R8" s="57">
        <f t="shared" si="0"/>
        <v>70</v>
      </c>
    </row>
    <row r="9" spans="1:20" ht="15.75" customHeight="1">
      <c r="A9" s="3">
        <v>20070795023</v>
      </c>
      <c r="B9" s="9" t="s">
        <v>15</v>
      </c>
      <c r="C9" s="56">
        <f>IF(AND('Mentah Perbaikan UTS'!C10='Mentah Perbaikan UTS'!C$6,'Mentah Perbaikan UTS'!R10="B"),4,IF(AND('Mentah Perbaikan UTS'!C10='Mentah Perbaikan UTS'!C$6,'Mentah Perbaikan UTS'!R10="S"),3,IF(AND('Mentah Perbaikan UTS'!C10&lt;&gt;'Mentah Perbaikan UTS'!C$6,'Mentah Perbaikan UTS'!R10="B"),2,IF(AND('Mentah Perbaikan UTS'!C10&lt;&gt;'Mentah Perbaikan UTS'!C$6,'Mentah Perbaikan UTS'!R10="S"),1,0))))</f>
        <v>1</v>
      </c>
      <c r="D9" s="56">
        <f>IF(AND('Mentah Perbaikan UTS'!D10='Mentah Perbaikan UTS'!D$6,'Mentah Perbaikan UTS'!S10="B"),4,IF(AND('Mentah Perbaikan UTS'!D10='Mentah Perbaikan UTS'!D$6,'Mentah Perbaikan UTS'!S10="S"),3,IF(AND('Mentah Perbaikan UTS'!D10&lt;&gt;'Mentah Perbaikan UTS'!D$6,'Mentah Perbaikan UTS'!S10="B"),2,IF(AND('Mentah Perbaikan UTS'!D10&lt;&gt;'Mentah Perbaikan UTS'!D$6,'Mentah Perbaikan UTS'!S10="S"),1,0))))</f>
        <v>3</v>
      </c>
      <c r="E9" s="56">
        <f>IF(AND('Mentah Perbaikan UTS'!E10='Mentah Perbaikan UTS'!E$6,'Mentah Perbaikan UTS'!T10="B"),4,IF(AND('Mentah Perbaikan UTS'!E10='Mentah Perbaikan UTS'!E$6,'Mentah Perbaikan UTS'!T10="S"),3,IF(AND('Mentah Perbaikan UTS'!E10&lt;&gt;'Mentah Perbaikan UTS'!E$6,'Mentah Perbaikan UTS'!T10="B"),2,IF(AND('Mentah Perbaikan UTS'!E10&lt;&gt;'Mentah Perbaikan UTS'!E$6,'Mentah Perbaikan UTS'!T10="S"),1,0))))</f>
        <v>3</v>
      </c>
      <c r="F9" s="56">
        <f>IF(AND('Mentah Perbaikan UTS'!F10='Mentah Perbaikan UTS'!F$6,'Mentah Perbaikan UTS'!U10="B"),4,IF(AND('Mentah Perbaikan UTS'!F10='Mentah Perbaikan UTS'!F$6,'Mentah Perbaikan UTS'!U10="S"),3,IF(AND('Mentah Perbaikan UTS'!F10&lt;&gt;'Mentah Perbaikan UTS'!F$6,'Mentah Perbaikan UTS'!U10="B"),2,IF(AND('Mentah Perbaikan UTS'!F10&lt;&gt;'Mentah Perbaikan UTS'!F$6,'Mentah Perbaikan UTS'!U10="S"),1,0))))</f>
        <v>3</v>
      </c>
      <c r="G9" s="56">
        <f>IF(AND('Mentah Perbaikan UTS'!G10='Mentah Perbaikan UTS'!G$6,'Mentah Perbaikan UTS'!V10="B"),4,IF(AND('Mentah Perbaikan UTS'!G10='Mentah Perbaikan UTS'!G$6,'Mentah Perbaikan UTS'!V10="S"),3,IF(AND('Mentah Perbaikan UTS'!G10&lt;&gt;'Mentah Perbaikan UTS'!G$6,'Mentah Perbaikan UTS'!V10="B"),2,IF(AND('Mentah Perbaikan UTS'!G10&lt;&gt;'Mentah Perbaikan UTS'!G$6,'Mentah Perbaikan UTS'!V10="S"),1,0))))</f>
        <v>1</v>
      </c>
      <c r="H9" s="56">
        <f>IF(AND('Mentah Perbaikan UTS'!H10='Mentah Perbaikan UTS'!H$6,'Mentah Perbaikan UTS'!W10="B"),4,IF(AND('Mentah Perbaikan UTS'!H10='Mentah Perbaikan UTS'!H$6,'Mentah Perbaikan UTS'!W10="S"),3,IF(AND('Mentah Perbaikan UTS'!H10&lt;&gt;'Mentah Perbaikan UTS'!H$6,'Mentah Perbaikan UTS'!W10="B"),2,IF(AND('Mentah Perbaikan UTS'!H10&lt;&gt;'Mentah Perbaikan UTS'!H$6,'Mentah Perbaikan UTS'!W10="S"),1,0))))</f>
        <v>1</v>
      </c>
      <c r="I9" s="56">
        <f>IF(AND('Mentah Perbaikan UTS'!I10='Mentah Perbaikan UTS'!I$6,'Mentah Perbaikan UTS'!X10="B"),4,IF(AND('Mentah Perbaikan UTS'!I10='Mentah Perbaikan UTS'!I$6,'Mentah Perbaikan UTS'!X10="S"),3,IF(AND('Mentah Perbaikan UTS'!I10&lt;&gt;'Mentah Perbaikan UTS'!I$6,'Mentah Perbaikan UTS'!X10="B"),2,IF(AND('Mentah Perbaikan UTS'!I10&lt;&gt;'Mentah Perbaikan UTS'!I$6,'Mentah Perbaikan UTS'!X10="S"),1,0))))</f>
        <v>3</v>
      </c>
      <c r="J9" s="56">
        <f>IF(AND('Mentah Perbaikan UTS'!J10='Mentah Perbaikan UTS'!J$6,'Mentah Perbaikan UTS'!Y10="B"),4,IF(AND('Mentah Perbaikan UTS'!J10='Mentah Perbaikan UTS'!J$6,'Mentah Perbaikan UTS'!Y10="S"),3,IF(AND('Mentah Perbaikan UTS'!J10&lt;&gt;'Mentah Perbaikan UTS'!J$6,'Mentah Perbaikan UTS'!Y10="B"),2,IF(AND('Mentah Perbaikan UTS'!J10&lt;&gt;'Mentah Perbaikan UTS'!J$6,'Mentah Perbaikan UTS'!Y10="S"),1,0))))</f>
        <v>4</v>
      </c>
      <c r="K9" s="56">
        <f>IF(AND('Mentah Perbaikan UTS'!K10='Mentah Perbaikan UTS'!K$6,'Mentah Perbaikan UTS'!Z10="B"),4,IF(AND('Mentah Perbaikan UTS'!K10='Mentah Perbaikan UTS'!K$6,'Mentah Perbaikan UTS'!Z10="S"),3,IF(AND('Mentah Perbaikan UTS'!K10&lt;&gt;'Mentah Perbaikan UTS'!K$6,'Mentah Perbaikan UTS'!Z10="B"),2,IF(AND('Mentah Perbaikan UTS'!K10&lt;&gt;'Mentah Perbaikan UTS'!K$6,'Mentah Perbaikan UTS'!Z10="S"),1,0))))</f>
        <v>3</v>
      </c>
      <c r="L9" s="56">
        <f>IF(AND('Mentah Perbaikan UTS'!L10='Mentah Perbaikan UTS'!L$6,'Mentah Perbaikan UTS'!AA10="B"),4,IF(AND('Mentah Perbaikan UTS'!L10='Mentah Perbaikan UTS'!L$6,'Mentah Perbaikan UTS'!AA10="S"),3,IF(AND('Mentah Perbaikan UTS'!L10&lt;&gt;'Mentah Perbaikan UTS'!L$6,'Mentah Perbaikan UTS'!AA10="B"),2,IF(AND('Mentah Perbaikan UTS'!L10&lt;&gt;'Mentah Perbaikan UTS'!L$6,'Mentah Perbaikan UTS'!AA10="S"),1,0))))</f>
        <v>2</v>
      </c>
      <c r="M9" s="56">
        <f>IF(AND('Mentah Perbaikan UTS'!M10='Mentah Perbaikan UTS'!M$6,'Mentah Perbaikan UTS'!AB10="B"),4,IF(AND('Mentah Perbaikan UTS'!M10='Mentah Perbaikan UTS'!M$6,'Mentah Perbaikan UTS'!AB10="S"),3,IF(AND('Mentah Perbaikan UTS'!M10&lt;&gt;'Mentah Perbaikan UTS'!M$6,'Mentah Perbaikan UTS'!AB10="B"),2,IF(AND('Mentah Perbaikan UTS'!M10&lt;&gt;'Mentah Perbaikan UTS'!M$6,'Mentah Perbaikan UTS'!AB10="S"),1,0))))</f>
        <v>3</v>
      </c>
      <c r="N9" s="56">
        <f>IF(AND('Mentah Perbaikan UTS'!N10='Mentah Perbaikan UTS'!N$6,'Mentah Perbaikan UTS'!AC10="B"),4,IF(AND('Mentah Perbaikan UTS'!N10='Mentah Perbaikan UTS'!N$6,'Mentah Perbaikan UTS'!AC10="S"),3,IF(AND('Mentah Perbaikan UTS'!N10&lt;&gt;'Mentah Perbaikan UTS'!N$6,'Mentah Perbaikan UTS'!AC10="B"),2,IF(AND('Mentah Perbaikan UTS'!N10&lt;&gt;'Mentah Perbaikan UTS'!N$6,'Mentah Perbaikan UTS'!AC10="S"),1,0))))</f>
        <v>1</v>
      </c>
      <c r="O9" s="56">
        <f>IF(AND('Mentah Perbaikan UTS'!O10='Mentah Perbaikan UTS'!O$6,'Mentah Perbaikan UTS'!AD10="B"),4,IF(AND('Mentah Perbaikan UTS'!O10='Mentah Perbaikan UTS'!O$6,'Mentah Perbaikan UTS'!AD10="S"),3,IF(AND('Mentah Perbaikan UTS'!O10&lt;&gt;'Mentah Perbaikan UTS'!O$6,'Mentah Perbaikan UTS'!AD10="B"),2,IF(AND('Mentah Perbaikan UTS'!O10&lt;&gt;'Mentah Perbaikan UTS'!O$6,'Mentah Perbaikan UTS'!AD10="S"),1,0))))</f>
        <v>3</v>
      </c>
      <c r="P9" s="56">
        <f>IF(AND('Mentah Perbaikan UTS'!P10='Mentah Perbaikan UTS'!P$6,'Mentah Perbaikan UTS'!AE10="B"),4,IF(AND('Mentah Perbaikan UTS'!P10='Mentah Perbaikan UTS'!P$6,'Mentah Perbaikan UTS'!AE10="S"),3,IF(AND('Mentah Perbaikan UTS'!P10&lt;&gt;'Mentah Perbaikan UTS'!P$6,'Mentah Perbaikan UTS'!AE10="B"),2,IF(AND('Mentah Perbaikan UTS'!P10&lt;&gt;'Mentah Perbaikan UTS'!P$6,'Mentah Perbaikan UTS'!AE10="S"),1,0))))</f>
        <v>3</v>
      </c>
      <c r="Q9" s="56">
        <f>IF(AND('Mentah Perbaikan UTS'!Q10='Mentah Perbaikan UTS'!Q$6,'Mentah Perbaikan UTS'!AF10="B"),4,IF(AND('Mentah Perbaikan UTS'!Q10='Mentah Perbaikan UTS'!Q$6,'Mentah Perbaikan UTS'!AF10="S"),3,IF(AND('Mentah Perbaikan UTS'!Q10&lt;&gt;'Mentah Perbaikan UTS'!Q$6,'Mentah Perbaikan UTS'!AF10="B"),2,IF(AND('Mentah Perbaikan UTS'!Q10&lt;&gt;'Mentah Perbaikan UTS'!Q$6,'Mentah Perbaikan UTS'!AF10="S"),1,0))))</f>
        <v>3</v>
      </c>
      <c r="R9" s="57">
        <f t="shared" si="0"/>
        <v>61.666666666666671</v>
      </c>
    </row>
    <row r="10" spans="1:20" ht="15.75" customHeight="1">
      <c r="A10" s="3">
        <v>20070795012</v>
      </c>
      <c r="B10" s="9" t="s">
        <v>16</v>
      </c>
      <c r="C10" s="56">
        <f>IF(AND('Mentah Perbaikan UTS'!C11='Mentah Perbaikan UTS'!C$6,'Mentah Perbaikan UTS'!R11="B"),4,IF(AND('Mentah Perbaikan UTS'!C11='Mentah Perbaikan UTS'!C$6,'Mentah Perbaikan UTS'!R11="S"),3,IF(AND('Mentah Perbaikan UTS'!C11&lt;&gt;'Mentah Perbaikan UTS'!C$6,'Mentah Perbaikan UTS'!R11="B"),2,IF(AND('Mentah Perbaikan UTS'!C11&lt;&gt;'Mentah Perbaikan UTS'!C$6,'Mentah Perbaikan UTS'!R11="S"),1,0))))</f>
        <v>4</v>
      </c>
      <c r="D10" s="56">
        <f>IF(AND('Mentah Perbaikan UTS'!D11='Mentah Perbaikan UTS'!D$6,'Mentah Perbaikan UTS'!S11="B"),4,IF(AND('Mentah Perbaikan UTS'!D11='Mentah Perbaikan UTS'!D$6,'Mentah Perbaikan UTS'!S11="S"),3,IF(AND('Mentah Perbaikan UTS'!D11&lt;&gt;'Mentah Perbaikan UTS'!D$6,'Mentah Perbaikan UTS'!S11="B"),2,IF(AND('Mentah Perbaikan UTS'!D11&lt;&gt;'Mentah Perbaikan UTS'!D$6,'Mentah Perbaikan UTS'!S11="S"),1,0))))</f>
        <v>4</v>
      </c>
      <c r="E10" s="56">
        <f>IF(AND('Mentah Perbaikan UTS'!E11='Mentah Perbaikan UTS'!E$6,'Mentah Perbaikan UTS'!T11="B"),4,IF(AND('Mentah Perbaikan UTS'!E11='Mentah Perbaikan UTS'!E$6,'Mentah Perbaikan UTS'!T11="S"),3,IF(AND('Mentah Perbaikan UTS'!E11&lt;&gt;'Mentah Perbaikan UTS'!E$6,'Mentah Perbaikan UTS'!T11="B"),2,IF(AND('Mentah Perbaikan UTS'!E11&lt;&gt;'Mentah Perbaikan UTS'!E$6,'Mentah Perbaikan UTS'!T11="S"),1,0))))</f>
        <v>4</v>
      </c>
      <c r="F10" s="56">
        <f>IF(AND('Mentah Perbaikan UTS'!F11='Mentah Perbaikan UTS'!F$6,'Mentah Perbaikan UTS'!U11="B"),4,IF(AND('Mentah Perbaikan UTS'!F11='Mentah Perbaikan UTS'!F$6,'Mentah Perbaikan UTS'!U11="S"),3,IF(AND('Mentah Perbaikan UTS'!F11&lt;&gt;'Mentah Perbaikan UTS'!F$6,'Mentah Perbaikan UTS'!U11="B"),2,IF(AND('Mentah Perbaikan UTS'!F11&lt;&gt;'Mentah Perbaikan UTS'!F$6,'Mentah Perbaikan UTS'!U11="S"),1,0))))</f>
        <v>4</v>
      </c>
      <c r="G10" s="56">
        <f>IF(AND('Mentah Perbaikan UTS'!G11='Mentah Perbaikan UTS'!G$6,'Mentah Perbaikan UTS'!V11="B"),4,IF(AND('Mentah Perbaikan UTS'!G11='Mentah Perbaikan UTS'!G$6,'Mentah Perbaikan UTS'!V11="S"),3,IF(AND('Mentah Perbaikan UTS'!G11&lt;&gt;'Mentah Perbaikan UTS'!G$6,'Mentah Perbaikan UTS'!V11="B"),2,IF(AND('Mentah Perbaikan UTS'!G11&lt;&gt;'Mentah Perbaikan UTS'!G$6,'Mentah Perbaikan UTS'!V11="S"),1,0))))</f>
        <v>4</v>
      </c>
      <c r="H10" s="56">
        <f>IF(AND('Mentah Perbaikan UTS'!H11='Mentah Perbaikan UTS'!H$6,'Mentah Perbaikan UTS'!W11="B"),4,IF(AND('Mentah Perbaikan UTS'!H11='Mentah Perbaikan UTS'!H$6,'Mentah Perbaikan UTS'!W11="S"),3,IF(AND('Mentah Perbaikan UTS'!H11&lt;&gt;'Mentah Perbaikan UTS'!H$6,'Mentah Perbaikan UTS'!W11="B"),2,IF(AND('Mentah Perbaikan UTS'!H11&lt;&gt;'Mentah Perbaikan UTS'!H$6,'Mentah Perbaikan UTS'!W11="S"),1,0))))</f>
        <v>1</v>
      </c>
      <c r="I10" s="56">
        <f>IF(AND('Mentah Perbaikan UTS'!I11='Mentah Perbaikan UTS'!I$6,'Mentah Perbaikan UTS'!X11="B"),4,IF(AND('Mentah Perbaikan UTS'!I11='Mentah Perbaikan UTS'!I$6,'Mentah Perbaikan UTS'!X11="S"),3,IF(AND('Mentah Perbaikan UTS'!I11&lt;&gt;'Mentah Perbaikan UTS'!I$6,'Mentah Perbaikan UTS'!X11="B"),2,IF(AND('Mentah Perbaikan UTS'!I11&lt;&gt;'Mentah Perbaikan UTS'!I$6,'Mentah Perbaikan UTS'!X11="S"),1,0))))</f>
        <v>3</v>
      </c>
      <c r="J10" s="56">
        <f>IF(AND('Mentah Perbaikan UTS'!J11='Mentah Perbaikan UTS'!J$6,'Mentah Perbaikan UTS'!Y11="B"),4,IF(AND('Mentah Perbaikan UTS'!J11='Mentah Perbaikan UTS'!J$6,'Mentah Perbaikan UTS'!Y11="S"),3,IF(AND('Mentah Perbaikan UTS'!J11&lt;&gt;'Mentah Perbaikan UTS'!J$6,'Mentah Perbaikan UTS'!Y11="B"),2,IF(AND('Mentah Perbaikan UTS'!J11&lt;&gt;'Mentah Perbaikan UTS'!J$6,'Mentah Perbaikan UTS'!Y11="S"),1,0))))</f>
        <v>4</v>
      </c>
      <c r="K10" s="56">
        <f>IF(AND('Mentah Perbaikan UTS'!K11='Mentah Perbaikan UTS'!K$6,'Mentah Perbaikan UTS'!Z11="B"),4,IF(AND('Mentah Perbaikan UTS'!K11='Mentah Perbaikan UTS'!K$6,'Mentah Perbaikan UTS'!Z11="S"),3,IF(AND('Mentah Perbaikan UTS'!K11&lt;&gt;'Mentah Perbaikan UTS'!K$6,'Mentah Perbaikan UTS'!Z11="B"),2,IF(AND('Mentah Perbaikan UTS'!K11&lt;&gt;'Mentah Perbaikan UTS'!K$6,'Mentah Perbaikan UTS'!Z11="S"),1,0))))</f>
        <v>3</v>
      </c>
      <c r="L10" s="56">
        <f>IF(AND('Mentah Perbaikan UTS'!L11='Mentah Perbaikan UTS'!L$6,'Mentah Perbaikan UTS'!AA11="B"),4,IF(AND('Mentah Perbaikan UTS'!L11='Mentah Perbaikan UTS'!L$6,'Mentah Perbaikan UTS'!AA11="S"),3,IF(AND('Mentah Perbaikan UTS'!L11&lt;&gt;'Mentah Perbaikan UTS'!L$6,'Mentah Perbaikan UTS'!AA11="B"),2,IF(AND('Mentah Perbaikan UTS'!L11&lt;&gt;'Mentah Perbaikan UTS'!L$6,'Mentah Perbaikan UTS'!AA11="S"),1,0))))</f>
        <v>2</v>
      </c>
      <c r="M10" s="56">
        <f>IF(AND('Mentah Perbaikan UTS'!M11='Mentah Perbaikan UTS'!M$6,'Mentah Perbaikan UTS'!AB11="B"),4,IF(AND('Mentah Perbaikan UTS'!M11='Mentah Perbaikan UTS'!M$6,'Mentah Perbaikan UTS'!AB11="S"),3,IF(AND('Mentah Perbaikan UTS'!M11&lt;&gt;'Mentah Perbaikan UTS'!M$6,'Mentah Perbaikan UTS'!AB11="B"),2,IF(AND('Mentah Perbaikan UTS'!M11&lt;&gt;'Mentah Perbaikan UTS'!M$6,'Mentah Perbaikan UTS'!AB11="S"),1,0))))</f>
        <v>2</v>
      </c>
      <c r="N10" s="56">
        <f>IF(AND('Mentah Perbaikan UTS'!N11='Mentah Perbaikan UTS'!N$6,'Mentah Perbaikan UTS'!AC11="B"),4,IF(AND('Mentah Perbaikan UTS'!N11='Mentah Perbaikan UTS'!N$6,'Mentah Perbaikan UTS'!AC11="S"),3,IF(AND('Mentah Perbaikan UTS'!N11&lt;&gt;'Mentah Perbaikan UTS'!N$6,'Mentah Perbaikan UTS'!AC11="B"),2,IF(AND('Mentah Perbaikan UTS'!N11&lt;&gt;'Mentah Perbaikan UTS'!N$6,'Mentah Perbaikan UTS'!AC11="S"),1,0))))</f>
        <v>3</v>
      </c>
      <c r="O10" s="56">
        <f>IF(AND('Mentah Perbaikan UTS'!O11='Mentah Perbaikan UTS'!O$6,'Mentah Perbaikan UTS'!AD11="B"),4,IF(AND('Mentah Perbaikan UTS'!O11='Mentah Perbaikan UTS'!O$6,'Mentah Perbaikan UTS'!AD11="S"),3,IF(AND('Mentah Perbaikan UTS'!O11&lt;&gt;'Mentah Perbaikan UTS'!O$6,'Mentah Perbaikan UTS'!AD11="B"),2,IF(AND('Mentah Perbaikan UTS'!O11&lt;&gt;'Mentah Perbaikan UTS'!O$6,'Mentah Perbaikan UTS'!AD11="S"),1,0))))</f>
        <v>4</v>
      </c>
      <c r="P10" s="56">
        <f>IF(AND('Mentah Perbaikan UTS'!P11='Mentah Perbaikan UTS'!P$6,'Mentah Perbaikan UTS'!AE11="B"),4,IF(AND('Mentah Perbaikan UTS'!P11='Mentah Perbaikan UTS'!P$6,'Mentah Perbaikan UTS'!AE11="S"),3,IF(AND('Mentah Perbaikan UTS'!P11&lt;&gt;'Mentah Perbaikan UTS'!P$6,'Mentah Perbaikan UTS'!AE11="B"),2,IF(AND('Mentah Perbaikan UTS'!P11&lt;&gt;'Mentah Perbaikan UTS'!P$6,'Mentah Perbaikan UTS'!AE11="S"),1,0))))</f>
        <v>4</v>
      </c>
      <c r="Q10" s="56">
        <f>IF(AND('Mentah Perbaikan UTS'!Q11='Mentah Perbaikan UTS'!Q$6,'Mentah Perbaikan UTS'!AF11="B"),4,IF(AND('Mentah Perbaikan UTS'!Q11='Mentah Perbaikan UTS'!Q$6,'Mentah Perbaikan UTS'!AF11="S"),3,IF(AND('Mentah Perbaikan UTS'!Q11&lt;&gt;'Mentah Perbaikan UTS'!Q$6,'Mentah Perbaikan UTS'!AF11="B"),2,IF(AND('Mentah Perbaikan UTS'!Q11&lt;&gt;'Mentah Perbaikan UTS'!Q$6,'Mentah Perbaikan UTS'!AF11="S"),1,0))))</f>
        <v>2</v>
      </c>
      <c r="R10" s="57">
        <f t="shared" si="0"/>
        <v>80</v>
      </c>
    </row>
    <row r="11" spans="1:20" ht="15.75" customHeight="1">
      <c r="A11" s="11">
        <v>20070795009</v>
      </c>
      <c r="B11" s="12" t="s">
        <v>17</v>
      </c>
      <c r="C11" s="56">
        <f>IF(AND('Mentah Perbaikan UTS'!C12='Mentah Perbaikan UTS'!C$6,'Mentah Perbaikan UTS'!R12="B"),4,IF(AND('Mentah Perbaikan UTS'!C12='Mentah Perbaikan UTS'!C$6,'Mentah Perbaikan UTS'!R12="S"),3,IF(AND('Mentah Perbaikan UTS'!C12&lt;&gt;'Mentah Perbaikan UTS'!C$6,'Mentah Perbaikan UTS'!R12="B"),2,IF(AND('Mentah Perbaikan UTS'!C12&lt;&gt;'Mentah Perbaikan UTS'!C$6,'Mentah Perbaikan UTS'!R12="S"),1,0))))</f>
        <v>1</v>
      </c>
      <c r="D11" s="56">
        <f>IF(AND('Mentah Perbaikan UTS'!D12='Mentah Perbaikan UTS'!D$6,'Mentah Perbaikan UTS'!S12="B"),4,IF(AND('Mentah Perbaikan UTS'!D12='Mentah Perbaikan UTS'!D$6,'Mentah Perbaikan UTS'!S12="S"),3,IF(AND('Mentah Perbaikan UTS'!D12&lt;&gt;'Mentah Perbaikan UTS'!D$6,'Mentah Perbaikan UTS'!S12="B"),2,IF(AND('Mentah Perbaikan UTS'!D12&lt;&gt;'Mentah Perbaikan UTS'!D$6,'Mentah Perbaikan UTS'!S12="S"),1,0))))</f>
        <v>1</v>
      </c>
      <c r="E11" s="56">
        <f>IF(AND('Mentah Perbaikan UTS'!E12='Mentah Perbaikan UTS'!E$6,'Mentah Perbaikan UTS'!T12="B"),4,IF(AND('Mentah Perbaikan UTS'!E12='Mentah Perbaikan UTS'!E$6,'Mentah Perbaikan UTS'!T12="S"),3,IF(AND('Mentah Perbaikan UTS'!E12&lt;&gt;'Mentah Perbaikan UTS'!E$6,'Mentah Perbaikan UTS'!T12="B"),2,IF(AND('Mentah Perbaikan UTS'!E12&lt;&gt;'Mentah Perbaikan UTS'!E$6,'Mentah Perbaikan UTS'!T12="S"),1,0))))</f>
        <v>1</v>
      </c>
      <c r="F11" s="56">
        <f>IF(AND('Mentah Perbaikan UTS'!F12='Mentah Perbaikan UTS'!F$6,'Mentah Perbaikan UTS'!U12="B"),4,IF(AND('Mentah Perbaikan UTS'!F12='Mentah Perbaikan UTS'!F$6,'Mentah Perbaikan UTS'!U12="S"),3,IF(AND('Mentah Perbaikan UTS'!F12&lt;&gt;'Mentah Perbaikan UTS'!F$6,'Mentah Perbaikan UTS'!U12="B"),2,IF(AND('Mentah Perbaikan UTS'!F12&lt;&gt;'Mentah Perbaikan UTS'!F$6,'Mentah Perbaikan UTS'!U12="S"),1,0))))</f>
        <v>1</v>
      </c>
      <c r="G11" s="56">
        <f>IF(AND('Mentah Perbaikan UTS'!G12='Mentah Perbaikan UTS'!G$6,'Mentah Perbaikan UTS'!V12="B"),4,IF(AND('Mentah Perbaikan UTS'!G12='Mentah Perbaikan UTS'!G$6,'Mentah Perbaikan UTS'!V12="S"),3,IF(AND('Mentah Perbaikan UTS'!G12&lt;&gt;'Mentah Perbaikan UTS'!G$6,'Mentah Perbaikan UTS'!V12="B"),2,IF(AND('Mentah Perbaikan UTS'!G12&lt;&gt;'Mentah Perbaikan UTS'!G$6,'Mentah Perbaikan UTS'!V12="S"),1,0))))</f>
        <v>3</v>
      </c>
      <c r="H11" s="56">
        <f>IF(AND('Mentah Perbaikan UTS'!H12='Mentah Perbaikan UTS'!H$6,'Mentah Perbaikan UTS'!W12="B"),4,IF(AND('Mentah Perbaikan UTS'!H12='Mentah Perbaikan UTS'!H$6,'Mentah Perbaikan UTS'!W12="S"),3,IF(AND('Mentah Perbaikan UTS'!H12&lt;&gt;'Mentah Perbaikan UTS'!H$6,'Mentah Perbaikan UTS'!W12="B"),2,IF(AND('Mentah Perbaikan UTS'!H12&lt;&gt;'Mentah Perbaikan UTS'!H$6,'Mentah Perbaikan UTS'!W12="S"),1,0))))</f>
        <v>1</v>
      </c>
      <c r="I11" s="56">
        <f>IF(AND('Mentah Perbaikan UTS'!I12='Mentah Perbaikan UTS'!I$6,'Mentah Perbaikan UTS'!X12="B"),4,IF(AND('Mentah Perbaikan UTS'!I12='Mentah Perbaikan UTS'!I$6,'Mentah Perbaikan UTS'!X12="S"),3,IF(AND('Mentah Perbaikan UTS'!I12&lt;&gt;'Mentah Perbaikan UTS'!I$6,'Mentah Perbaikan UTS'!X12="B"),2,IF(AND('Mentah Perbaikan UTS'!I12&lt;&gt;'Mentah Perbaikan UTS'!I$6,'Mentah Perbaikan UTS'!X12="S"),1,0))))</f>
        <v>1</v>
      </c>
      <c r="J11" s="56">
        <f>IF(AND('Mentah Perbaikan UTS'!J12='Mentah Perbaikan UTS'!J$6,'Mentah Perbaikan UTS'!Y12="B"),4,IF(AND('Mentah Perbaikan UTS'!J12='Mentah Perbaikan UTS'!J$6,'Mentah Perbaikan UTS'!Y12="S"),3,IF(AND('Mentah Perbaikan UTS'!J12&lt;&gt;'Mentah Perbaikan UTS'!J$6,'Mentah Perbaikan UTS'!Y12="B"),2,IF(AND('Mentah Perbaikan UTS'!J12&lt;&gt;'Mentah Perbaikan UTS'!J$6,'Mentah Perbaikan UTS'!Y12="S"),1,0))))</f>
        <v>1</v>
      </c>
      <c r="K11" s="56">
        <f>IF(AND('Mentah Perbaikan UTS'!K12='Mentah Perbaikan UTS'!K$6,'Mentah Perbaikan UTS'!Z12="B"),4,IF(AND('Mentah Perbaikan UTS'!K12='Mentah Perbaikan UTS'!K$6,'Mentah Perbaikan UTS'!Z12="S"),3,IF(AND('Mentah Perbaikan UTS'!K12&lt;&gt;'Mentah Perbaikan UTS'!K$6,'Mentah Perbaikan UTS'!Z12="B"),2,IF(AND('Mentah Perbaikan UTS'!K12&lt;&gt;'Mentah Perbaikan UTS'!K$6,'Mentah Perbaikan UTS'!Z12="S"),1,0))))</f>
        <v>1</v>
      </c>
      <c r="L11" s="56">
        <f>IF(AND('Mentah Perbaikan UTS'!L12='Mentah Perbaikan UTS'!L$6,'Mentah Perbaikan UTS'!AA12="B"),4,IF(AND('Mentah Perbaikan UTS'!L12='Mentah Perbaikan UTS'!L$6,'Mentah Perbaikan UTS'!AA12="S"),3,IF(AND('Mentah Perbaikan UTS'!L12&lt;&gt;'Mentah Perbaikan UTS'!L$6,'Mentah Perbaikan UTS'!AA12="B"),2,IF(AND('Mentah Perbaikan UTS'!L12&lt;&gt;'Mentah Perbaikan UTS'!L$6,'Mentah Perbaikan UTS'!AA12="S"),1,0))))</f>
        <v>1</v>
      </c>
      <c r="M11" s="56">
        <f>IF(AND('Mentah Perbaikan UTS'!M12='Mentah Perbaikan UTS'!M$6,'Mentah Perbaikan UTS'!AB12="B"),4,IF(AND('Mentah Perbaikan UTS'!M12='Mentah Perbaikan UTS'!M$6,'Mentah Perbaikan UTS'!AB12="S"),3,IF(AND('Mentah Perbaikan UTS'!M12&lt;&gt;'Mentah Perbaikan UTS'!M$6,'Mentah Perbaikan UTS'!AB12="B"),2,IF(AND('Mentah Perbaikan UTS'!M12&lt;&gt;'Mentah Perbaikan UTS'!M$6,'Mentah Perbaikan UTS'!AB12="S"),1,0))))</f>
        <v>1</v>
      </c>
      <c r="N11" s="56">
        <f>IF(AND('Mentah Perbaikan UTS'!N12='Mentah Perbaikan UTS'!N$6,'Mentah Perbaikan UTS'!AC12="B"),4,IF(AND('Mentah Perbaikan UTS'!N12='Mentah Perbaikan UTS'!N$6,'Mentah Perbaikan UTS'!AC12="S"),3,IF(AND('Mentah Perbaikan UTS'!N12&lt;&gt;'Mentah Perbaikan UTS'!N$6,'Mentah Perbaikan UTS'!AC12="B"),2,IF(AND('Mentah Perbaikan UTS'!N12&lt;&gt;'Mentah Perbaikan UTS'!N$6,'Mentah Perbaikan UTS'!AC12="S"),1,0))))</f>
        <v>1</v>
      </c>
      <c r="O11" s="56">
        <f>IF(AND('Mentah Perbaikan UTS'!O12='Mentah Perbaikan UTS'!O$6,'Mentah Perbaikan UTS'!AD12="B"),4,IF(AND('Mentah Perbaikan UTS'!O12='Mentah Perbaikan UTS'!O$6,'Mentah Perbaikan UTS'!AD12="S"),3,IF(AND('Mentah Perbaikan UTS'!O12&lt;&gt;'Mentah Perbaikan UTS'!O$6,'Mentah Perbaikan UTS'!AD12="B"),2,IF(AND('Mentah Perbaikan UTS'!O12&lt;&gt;'Mentah Perbaikan UTS'!O$6,'Mentah Perbaikan UTS'!AD12="S"),1,0))))</f>
        <v>1</v>
      </c>
      <c r="P11" s="56">
        <f>IF(AND('Mentah Perbaikan UTS'!P12='Mentah Perbaikan UTS'!P$6,'Mentah Perbaikan UTS'!AE12="B"),4,IF(AND('Mentah Perbaikan UTS'!P12='Mentah Perbaikan UTS'!P$6,'Mentah Perbaikan UTS'!AE12="S"),3,IF(AND('Mentah Perbaikan UTS'!P12&lt;&gt;'Mentah Perbaikan UTS'!P$6,'Mentah Perbaikan UTS'!AE12="B"),2,IF(AND('Mentah Perbaikan UTS'!P12&lt;&gt;'Mentah Perbaikan UTS'!P$6,'Mentah Perbaikan UTS'!AE12="S"),1,0))))</f>
        <v>1</v>
      </c>
      <c r="Q11" s="56">
        <f>IF(AND('Mentah Perbaikan UTS'!Q12='Mentah Perbaikan UTS'!Q$6,'Mentah Perbaikan UTS'!AF12="B"),4,IF(AND('Mentah Perbaikan UTS'!Q12='Mentah Perbaikan UTS'!Q$6,'Mentah Perbaikan UTS'!AF12="S"),3,IF(AND('Mentah Perbaikan UTS'!Q12&lt;&gt;'Mentah Perbaikan UTS'!Q$6,'Mentah Perbaikan UTS'!AF12="B"),2,IF(AND('Mentah Perbaikan UTS'!Q12&lt;&gt;'Mentah Perbaikan UTS'!Q$6,'Mentah Perbaikan UTS'!AF12="S"),1,0))))</f>
        <v>3</v>
      </c>
      <c r="R11" s="57">
        <f t="shared" si="0"/>
        <v>31.666666666666664</v>
      </c>
    </row>
    <row r="12" spans="1:20" ht="15.75" customHeight="1">
      <c r="A12" s="3">
        <v>20070795025</v>
      </c>
      <c r="B12" s="12" t="s">
        <v>18</v>
      </c>
      <c r="C12" s="56">
        <f>IF(AND('Mentah Perbaikan UTS'!C13='Mentah Perbaikan UTS'!C$6,'Mentah Perbaikan UTS'!R13="B"),4,IF(AND('Mentah Perbaikan UTS'!C13='Mentah Perbaikan UTS'!C$6,'Mentah Perbaikan UTS'!R13="S"),3,IF(AND('Mentah Perbaikan UTS'!C13&lt;&gt;'Mentah Perbaikan UTS'!C$6,'Mentah Perbaikan UTS'!R13="B"),2,IF(AND('Mentah Perbaikan UTS'!C13&lt;&gt;'Mentah Perbaikan UTS'!C$6,'Mentah Perbaikan UTS'!R13="S"),1,0))))</f>
        <v>2</v>
      </c>
      <c r="D12" s="56">
        <f>IF(AND('Mentah Perbaikan UTS'!D13='Mentah Perbaikan UTS'!D$6,'Mentah Perbaikan UTS'!S13="B"),4,IF(AND('Mentah Perbaikan UTS'!D13='Mentah Perbaikan UTS'!D$6,'Mentah Perbaikan UTS'!S13="S"),3,IF(AND('Mentah Perbaikan UTS'!D13&lt;&gt;'Mentah Perbaikan UTS'!D$6,'Mentah Perbaikan UTS'!S13="B"),2,IF(AND('Mentah Perbaikan UTS'!D13&lt;&gt;'Mentah Perbaikan UTS'!D$6,'Mentah Perbaikan UTS'!S13="S"),1,0))))</f>
        <v>4</v>
      </c>
      <c r="E12" s="56">
        <f>IF(AND('Mentah Perbaikan UTS'!E13='Mentah Perbaikan UTS'!E$6,'Mentah Perbaikan UTS'!T13="B"),4,IF(AND('Mentah Perbaikan UTS'!E13='Mentah Perbaikan UTS'!E$6,'Mentah Perbaikan UTS'!T13="S"),3,IF(AND('Mentah Perbaikan UTS'!E13&lt;&gt;'Mentah Perbaikan UTS'!E$6,'Mentah Perbaikan UTS'!T13="B"),2,IF(AND('Mentah Perbaikan UTS'!E13&lt;&gt;'Mentah Perbaikan UTS'!E$6,'Mentah Perbaikan UTS'!T13="S"),1,0))))</f>
        <v>1</v>
      </c>
      <c r="F12" s="56">
        <f>IF(AND('Mentah Perbaikan UTS'!F13='Mentah Perbaikan UTS'!F$6,'Mentah Perbaikan UTS'!U13="B"),4,IF(AND('Mentah Perbaikan UTS'!F13='Mentah Perbaikan UTS'!F$6,'Mentah Perbaikan UTS'!U13="S"),3,IF(AND('Mentah Perbaikan UTS'!F13&lt;&gt;'Mentah Perbaikan UTS'!F$6,'Mentah Perbaikan UTS'!U13="B"),2,IF(AND('Mentah Perbaikan UTS'!F13&lt;&gt;'Mentah Perbaikan UTS'!F$6,'Mentah Perbaikan UTS'!U13="S"),1,0))))</f>
        <v>3</v>
      </c>
      <c r="G12" s="56">
        <f>IF(AND('Mentah Perbaikan UTS'!G13='Mentah Perbaikan UTS'!G$6,'Mentah Perbaikan UTS'!V13="B"),4,IF(AND('Mentah Perbaikan UTS'!G13='Mentah Perbaikan UTS'!G$6,'Mentah Perbaikan UTS'!V13="S"),3,IF(AND('Mentah Perbaikan UTS'!G13&lt;&gt;'Mentah Perbaikan UTS'!G$6,'Mentah Perbaikan UTS'!V13="B"),2,IF(AND('Mentah Perbaikan UTS'!G13&lt;&gt;'Mentah Perbaikan UTS'!G$6,'Mentah Perbaikan UTS'!V13="S"),1,0))))</f>
        <v>3</v>
      </c>
      <c r="H12" s="56">
        <f>IF(AND('Mentah Perbaikan UTS'!H13='Mentah Perbaikan UTS'!H$6,'Mentah Perbaikan UTS'!W13="B"),4,IF(AND('Mentah Perbaikan UTS'!H13='Mentah Perbaikan UTS'!H$6,'Mentah Perbaikan UTS'!W13="S"),3,IF(AND('Mentah Perbaikan UTS'!H13&lt;&gt;'Mentah Perbaikan UTS'!H$6,'Mentah Perbaikan UTS'!W13="B"),2,IF(AND('Mentah Perbaikan UTS'!H13&lt;&gt;'Mentah Perbaikan UTS'!H$6,'Mentah Perbaikan UTS'!W13="S"),1,0))))</f>
        <v>3</v>
      </c>
      <c r="I12" s="56">
        <f>IF(AND('Mentah Perbaikan UTS'!I13='Mentah Perbaikan UTS'!I$6,'Mentah Perbaikan UTS'!X13="B"),4,IF(AND('Mentah Perbaikan UTS'!I13='Mentah Perbaikan UTS'!I$6,'Mentah Perbaikan UTS'!X13="S"),3,IF(AND('Mentah Perbaikan UTS'!I13&lt;&gt;'Mentah Perbaikan UTS'!I$6,'Mentah Perbaikan UTS'!X13="B"),2,IF(AND('Mentah Perbaikan UTS'!I13&lt;&gt;'Mentah Perbaikan UTS'!I$6,'Mentah Perbaikan UTS'!X13="S"),1,0))))</f>
        <v>3</v>
      </c>
      <c r="J12" s="56">
        <f>IF(AND('Mentah Perbaikan UTS'!J13='Mentah Perbaikan UTS'!J$6,'Mentah Perbaikan UTS'!Y13="B"),4,IF(AND('Mentah Perbaikan UTS'!J13='Mentah Perbaikan UTS'!J$6,'Mentah Perbaikan UTS'!Y13="S"),3,IF(AND('Mentah Perbaikan UTS'!J13&lt;&gt;'Mentah Perbaikan UTS'!J$6,'Mentah Perbaikan UTS'!Y13="B"),2,IF(AND('Mentah Perbaikan UTS'!J13&lt;&gt;'Mentah Perbaikan UTS'!J$6,'Mentah Perbaikan UTS'!Y13="S"),1,0))))</f>
        <v>2</v>
      </c>
      <c r="K12" s="56">
        <f>IF(AND('Mentah Perbaikan UTS'!K13='Mentah Perbaikan UTS'!K$6,'Mentah Perbaikan UTS'!Z13="B"),4,IF(AND('Mentah Perbaikan UTS'!K13='Mentah Perbaikan UTS'!K$6,'Mentah Perbaikan UTS'!Z13="S"),3,IF(AND('Mentah Perbaikan UTS'!K13&lt;&gt;'Mentah Perbaikan UTS'!K$6,'Mentah Perbaikan UTS'!Z13="B"),2,IF(AND('Mentah Perbaikan UTS'!K13&lt;&gt;'Mentah Perbaikan UTS'!K$6,'Mentah Perbaikan UTS'!Z13="S"),1,0))))</f>
        <v>3</v>
      </c>
      <c r="L12" s="56">
        <f>IF(AND('Mentah Perbaikan UTS'!L13='Mentah Perbaikan UTS'!L$6,'Mentah Perbaikan UTS'!AA13="B"),4,IF(AND('Mentah Perbaikan UTS'!L13='Mentah Perbaikan UTS'!L$6,'Mentah Perbaikan UTS'!AA13="S"),3,IF(AND('Mentah Perbaikan UTS'!L13&lt;&gt;'Mentah Perbaikan UTS'!L$6,'Mentah Perbaikan UTS'!AA13="B"),2,IF(AND('Mentah Perbaikan UTS'!L13&lt;&gt;'Mentah Perbaikan UTS'!L$6,'Mentah Perbaikan UTS'!AA13="S"),1,0))))</f>
        <v>2</v>
      </c>
      <c r="M12" s="56">
        <f>IF(AND('Mentah Perbaikan UTS'!M13='Mentah Perbaikan UTS'!M$6,'Mentah Perbaikan UTS'!AB13="B"),4,IF(AND('Mentah Perbaikan UTS'!M13='Mentah Perbaikan UTS'!M$6,'Mentah Perbaikan UTS'!AB13="S"),3,IF(AND('Mentah Perbaikan UTS'!M13&lt;&gt;'Mentah Perbaikan UTS'!M$6,'Mentah Perbaikan UTS'!AB13="B"),2,IF(AND('Mentah Perbaikan UTS'!M13&lt;&gt;'Mentah Perbaikan UTS'!M$6,'Mentah Perbaikan UTS'!AB13="S"),1,0))))</f>
        <v>3</v>
      </c>
      <c r="N12" s="56">
        <f>IF(AND('Mentah Perbaikan UTS'!N13='Mentah Perbaikan UTS'!N$6,'Mentah Perbaikan UTS'!AC13="B"),4,IF(AND('Mentah Perbaikan UTS'!N13='Mentah Perbaikan UTS'!N$6,'Mentah Perbaikan UTS'!AC13="S"),3,IF(AND('Mentah Perbaikan UTS'!N13&lt;&gt;'Mentah Perbaikan UTS'!N$6,'Mentah Perbaikan UTS'!AC13="B"),2,IF(AND('Mentah Perbaikan UTS'!N13&lt;&gt;'Mentah Perbaikan UTS'!N$6,'Mentah Perbaikan UTS'!AC13="S"),1,0))))</f>
        <v>1</v>
      </c>
      <c r="O12" s="56">
        <f>IF(AND('Mentah Perbaikan UTS'!O13='Mentah Perbaikan UTS'!O$6,'Mentah Perbaikan UTS'!AD13="B"),4,IF(AND('Mentah Perbaikan UTS'!O13='Mentah Perbaikan UTS'!O$6,'Mentah Perbaikan UTS'!AD13="S"),3,IF(AND('Mentah Perbaikan UTS'!O13&lt;&gt;'Mentah Perbaikan UTS'!O$6,'Mentah Perbaikan UTS'!AD13="B"),2,IF(AND('Mentah Perbaikan UTS'!O13&lt;&gt;'Mentah Perbaikan UTS'!O$6,'Mentah Perbaikan UTS'!AD13="S"),1,0))))</f>
        <v>1</v>
      </c>
      <c r="P12" s="56">
        <f>IF(AND('Mentah Perbaikan UTS'!P13='Mentah Perbaikan UTS'!P$6,'Mentah Perbaikan UTS'!AE13="B"),4,IF(AND('Mentah Perbaikan UTS'!P13='Mentah Perbaikan UTS'!P$6,'Mentah Perbaikan UTS'!AE13="S"),3,IF(AND('Mentah Perbaikan UTS'!P13&lt;&gt;'Mentah Perbaikan UTS'!P$6,'Mentah Perbaikan UTS'!AE13="B"),2,IF(AND('Mentah Perbaikan UTS'!P13&lt;&gt;'Mentah Perbaikan UTS'!P$6,'Mentah Perbaikan UTS'!AE13="S"),1,0))))</f>
        <v>3</v>
      </c>
      <c r="Q12" s="56">
        <f>IF(AND('Mentah Perbaikan UTS'!Q13='Mentah Perbaikan UTS'!Q$6,'Mentah Perbaikan UTS'!AF13="B"),4,IF(AND('Mentah Perbaikan UTS'!Q13='Mentah Perbaikan UTS'!Q$6,'Mentah Perbaikan UTS'!AF13="S"),3,IF(AND('Mentah Perbaikan UTS'!Q13&lt;&gt;'Mentah Perbaikan UTS'!Q$6,'Mentah Perbaikan UTS'!AF13="B"),2,IF(AND('Mentah Perbaikan UTS'!Q13&lt;&gt;'Mentah Perbaikan UTS'!Q$6,'Mentah Perbaikan UTS'!AF13="S"),1,0))))</f>
        <v>1</v>
      </c>
      <c r="R12" s="57">
        <f t="shared" si="0"/>
        <v>58.333333333333336</v>
      </c>
    </row>
    <row r="13" spans="1:20" ht="15.75" customHeight="1">
      <c r="A13" s="3">
        <v>20070795011</v>
      </c>
      <c r="B13" s="9" t="s">
        <v>19</v>
      </c>
      <c r="C13" s="56">
        <f>IF(AND('Mentah Perbaikan UTS'!C14='Mentah Perbaikan UTS'!C$6,'Mentah Perbaikan UTS'!R14="B"),4,IF(AND('Mentah Perbaikan UTS'!C14='Mentah Perbaikan UTS'!C$6,'Mentah Perbaikan UTS'!R14="S"),3,IF(AND('Mentah Perbaikan UTS'!C14&lt;&gt;'Mentah Perbaikan UTS'!C$6,'Mentah Perbaikan UTS'!R14="B"),2,IF(AND('Mentah Perbaikan UTS'!C14&lt;&gt;'Mentah Perbaikan UTS'!C$6,'Mentah Perbaikan UTS'!R14="S"),1,0))))</f>
        <v>4</v>
      </c>
      <c r="D13" s="56">
        <f>IF(AND('Mentah Perbaikan UTS'!D14='Mentah Perbaikan UTS'!D$6,'Mentah Perbaikan UTS'!S14="B"),4,IF(AND('Mentah Perbaikan UTS'!D14='Mentah Perbaikan UTS'!D$6,'Mentah Perbaikan UTS'!S14="S"),3,IF(AND('Mentah Perbaikan UTS'!D14&lt;&gt;'Mentah Perbaikan UTS'!D$6,'Mentah Perbaikan UTS'!S14="B"),2,IF(AND('Mentah Perbaikan UTS'!D14&lt;&gt;'Mentah Perbaikan UTS'!D$6,'Mentah Perbaikan UTS'!S14="S"),1,0))))</f>
        <v>4</v>
      </c>
      <c r="E13" s="56">
        <f>IF(AND('Mentah Perbaikan UTS'!E14='Mentah Perbaikan UTS'!E$6,'Mentah Perbaikan UTS'!T14="B"),4,IF(AND('Mentah Perbaikan UTS'!E14='Mentah Perbaikan UTS'!E$6,'Mentah Perbaikan UTS'!T14="S"),3,IF(AND('Mentah Perbaikan UTS'!E14&lt;&gt;'Mentah Perbaikan UTS'!E$6,'Mentah Perbaikan UTS'!T14="B"),2,IF(AND('Mentah Perbaikan UTS'!E14&lt;&gt;'Mentah Perbaikan UTS'!E$6,'Mentah Perbaikan UTS'!T14="S"),1,0))))</f>
        <v>2</v>
      </c>
      <c r="F13" s="56">
        <f>IF(AND('Mentah Perbaikan UTS'!F14='Mentah Perbaikan UTS'!F$6,'Mentah Perbaikan UTS'!U14="B"),4,IF(AND('Mentah Perbaikan UTS'!F14='Mentah Perbaikan UTS'!F$6,'Mentah Perbaikan UTS'!U14="S"),3,IF(AND('Mentah Perbaikan UTS'!F14&lt;&gt;'Mentah Perbaikan UTS'!F$6,'Mentah Perbaikan UTS'!U14="B"),2,IF(AND('Mentah Perbaikan UTS'!F14&lt;&gt;'Mentah Perbaikan UTS'!F$6,'Mentah Perbaikan UTS'!U14="S"),1,0))))</f>
        <v>3</v>
      </c>
      <c r="G13" s="56">
        <f>IF(AND('Mentah Perbaikan UTS'!G14='Mentah Perbaikan UTS'!G$6,'Mentah Perbaikan UTS'!V14="B"),4,IF(AND('Mentah Perbaikan UTS'!G14='Mentah Perbaikan UTS'!G$6,'Mentah Perbaikan UTS'!V14="S"),3,IF(AND('Mentah Perbaikan UTS'!G14&lt;&gt;'Mentah Perbaikan UTS'!G$6,'Mentah Perbaikan UTS'!V14="B"),2,IF(AND('Mentah Perbaikan UTS'!G14&lt;&gt;'Mentah Perbaikan UTS'!G$6,'Mentah Perbaikan UTS'!V14="S"),1,0))))</f>
        <v>4</v>
      </c>
      <c r="H13" s="56">
        <f>IF(AND('Mentah Perbaikan UTS'!H14='Mentah Perbaikan UTS'!H$6,'Mentah Perbaikan UTS'!W14="B"),4,IF(AND('Mentah Perbaikan UTS'!H14='Mentah Perbaikan UTS'!H$6,'Mentah Perbaikan UTS'!W14="S"),3,IF(AND('Mentah Perbaikan UTS'!H14&lt;&gt;'Mentah Perbaikan UTS'!H$6,'Mentah Perbaikan UTS'!W14="B"),2,IF(AND('Mentah Perbaikan UTS'!H14&lt;&gt;'Mentah Perbaikan UTS'!H$6,'Mentah Perbaikan UTS'!W14="S"),1,0))))</f>
        <v>1</v>
      </c>
      <c r="I13" s="56">
        <f>IF(AND('Mentah Perbaikan UTS'!I14='Mentah Perbaikan UTS'!I$6,'Mentah Perbaikan UTS'!X14="B"),4,IF(AND('Mentah Perbaikan UTS'!I14='Mentah Perbaikan UTS'!I$6,'Mentah Perbaikan UTS'!X14="S"),3,IF(AND('Mentah Perbaikan UTS'!I14&lt;&gt;'Mentah Perbaikan UTS'!I$6,'Mentah Perbaikan UTS'!X14="B"),2,IF(AND('Mentah Perbaikan UTS'!I14&lt;&gt;'Mentah Perbaikan UTS'!I$6,'Mentah Perbaikan UTS'!X14="S"),1,0))))</f>
        <v>3</v>
      </c>
      <c r="J13" s="56">
        <f>IF(AND('Mentah Perbaikan UTS'!J14='Mentah Perbaikan UTS'!J$6,'Mentah Perbaikan UTS'!Y14="B"),4,IF(AND('Mentah Perbaikan UTS'!J14='Mentah Perbaikan UTS'!J$6,'Mentah Perbaikan UTS'!Y14="S"),3,IF(AND('Mentah Perbaikan UTS'!J14&lt;&gt;'Mentah Perbaikan UTS'!J$6,'Mentah Perbaikan UTS'!Y14="B"),2,IF(AND('Mentah Perbaikan UTS'!J14&lt;&gt;'Mentah Perbaikan UTS'!J$6,'Mentah Perbaikan UTS'!Y14="S"),1,0))))</f>
        <v>4</v>
      </c>
      <c r="K13" s="56">
        <f>IF(AND('Mentah Perbaikan UTS'!K14='Mentah Perbaikan UTS'!K$6,'Mentah Perbaikan UTS'!Z14="B"),4,IF(AND('Mentah Perbaikan UTS'!K14='Mentah Perbaikan UTS'!K$6,'Mentah Perbaikan UTS'!Z14="S"),3,IF(AND('Mentah Perbaikan UTS'!K14&lt;&gt;'Mentah Perbaikan UTS'!K$6,'Mentah Perbaikan UTS'!Z14="B"),2,IF(AND('Mentah Perbaikan UTS'!K14&lt;&gt;'Mentah Perbaikan UTS'!K$6,'Mentah Perbaikan UTS'!Z14="S"),1,0))))</f>
        <v>3</v>
      </c>
      <c r="L13" s="56">
        <f>IF(AND('Mentah Perbaikan UTS'!L14='Mentah Perbaikan UTS'!L$6,'Mentah Perbaikan UTS'!AA14="B"),4,IF(AND('Mentah Perbaikan UTS'!L14='Mentah Perbaikan UTS'!L$6,'Mentah Perbaikan UTS'!AA14="S"),3,IF(AND('Mentah Perbaikan UTS'!L14&lt;&gt;'Mentah Perbaikan UTS'!L$6,'Mentah Perbaikan UTS'!AA14="B"),2,IF(AND('Mentah Perbaikan UTS'!L14&lt;&gt;'Mentah Perbaikan UTS'!L$6,'Mentah Perbaikan UTS'!AA14="S"),1,0))))</f>
        <v>1</v>
      </c>
      <c r="M13" s="56">
        <f>IF(AND('Mentah Perbaikan UTS'!M14='Mentah Perbaikan UTS'!M$6,'Mentah Perbaikan UTS'!AB14="B"),4,IF(AND('Mentah Perbaikan UTS'!M14='Mentah Perbaikan UTS'!M$6,'Mentah Perbaikan UTS'!AB14="S"),3,IF(AND('Mentah Perbaikan UTS'!M14&lt;&gt;'Mentah Perbaikan UTS'!M$6,'Mentah Perbaikan UTS'!AB14="B"),2,IF(AND('Mentah Perbaikan UTS'!M14&lt;&gt;'Mentah Perbaikan UTS'!M$6,'Mentah Perbaikan UTS'!AB14="S"),1,0))))</f>
        <v>1</v>
      </c>
      <c r="N13" s="56">
        <f>IF(AND('Mentah Perbaikan UTS'!N14='Mentah Perbaikan UTS'!N$6,'Mentah Perbaikan UTS'!AC14="B"),4,IF(AND('Mentah Perbaikan UTS'!N14='Mentah Perbaikan UTS'!N$6,'Mentah Perbaikan UTS'!AC14="S"),3,IF(AND('Mentah Perbaikan UTS'!N14&lt;&gt;'Mentah Perbaikan UTS'!N$6,'Mentah Perbaikan UTS'!AC14="B"),2,IF(AND('Mentah Perbaikan UTS'!N14&lt;&gt;'Mentah Perbaikan UTS'!N$6,'Mentah Perbaikan UTS'!AC14="S"),1,0))))</f>
        <v>1</v>
      </c>
      <c r="O13" s="56">
        <f>IF(AND('Mentah Perbaikan UTS'!O14='Mentah Perbaikan UTS'!O$6,'Mentah Perbaikan UTS'!AD14="B"),4,IF(AND('Mentah Perbaikan UTS'!O14='Mentah Perbaikan UTS'!O$6,'Mentah Perbaikan UTS'!AD14="S"),3,IF(AND('Mentah Perbaikan UTS'!O14&lt;&gt;'Mentah Perbaikan UTS'!O$6,'Mentah Perbaikan UTS'!AD14="B"),2,IF(AND('Mentah Perbaikan UTS'!O14&lt;&gt;'Mentah Perbaikan UTS'!O$6,'Mentah Perbaikan UTS'!AD14="S"),1,0))))</f>
        <v>3</v>
      </c>
      <c r="P13" s="56">
        <f>IF(AND('Mentah Perbaikan UTS'!P14='Mentah Perbaikan UTS'!P$6,'Mentah Perbaikan UTS'!AE14="B"),4,IF(AND('Mentah Perbaikan UTS'!P14='Mentah Perbaikan UTS'!P$6,'Mentah Perbaikan UTS'!AE14="S"),3,IF(AND('Mentah Perbaikan UTS'!P14&lt;&gt;'Mentah Perbaikan UTS'!P$6,'Mentah Perbaikan UTS'!AE14="B"),2,IF(AND('Mentah Perbaikan UTS'!P14&lt;&gt;'Mentah Perbaikan UTS'!P$6,'Mentah Perbaikan UTS'!AE14="S"),1,0))))</f>
        <v>1</v>
      </c>
      <c r="Q13" s="56">
        <f>IF(AND('Mentah Perbaikan UTS'!Q14='Mentah Perbaikan UTS'!Q$6,'Mentah Perbaikan UTS'!AF14="B"),4,IF(AND('Mentah Perbaikan UTS'!Q14='Mentah Perbaikan UTS'!Q$6,'Mentah Perbaikan UTS'!AF14="S"),3,IF(AND('Mentah Perbaikan UTS'!Q14&lt;&gt;'Mentah Perbaikan UTS'!Q$6,'Mentah Perbaikan UTS'!AF14="B"),2,IF(AND('Mentah Perbaikan UTS'!Q14&lt;&gt;'Mentah Perbaikan UTS'!Q$6,'Mentah Perbaikan UTS'!AF14="S"),1,0))))</f>
        <v>2</v>
      </c>
      <c r="R13" s="57">
        <f t="shared" si="0"/>
        <v>61.666666666666671</v>
      </c>
    </row>
    <row r="14" spans="1:20" ht="15.75" customHeight="1">
      <c r="A14" s="3">
        <v>20070795007</v>
      </c>
      <c r="B14" s="11" t="s">
        <v>20</v>
      </c>
      <c r="C14" s="56">
        <f>IF(AND('Mentah Perbaikan UTS'!C15='Mentah Perbaikan UTS'!C$6,'Mentah Perbaikan UTS'!R15="B"),4,IF(AND('Mentah Perbaikan UTS'!C15='Mentah Perbaikan UTS'!C$6,'Mentah Perbaikan UTS'!R15="S"),3,IF(AND('Mentah Perbaikan UTS'!C15&lt;&gt;'Mentah Perbaikan UTS'!C$6,'Mentah Perbaikan UTS'!R15="B"),2,IF(AND('Mentah Perbaikan UTS'!C15&lt;&gt;'Mentah Perbaikan UTS'!C$6,'Mentah Perbaikan UTS'!R15="S"),1,0))))</f>
        <v>4</v>
      </c>
      <c r="D14" s="56">
        <f>IF(AND('Mentah Perbaikan UTS'!D15='Mentah Perbaikan UTS'!D$6,'Mentah Perbaikan UTS'!S15="B"),4,IF(AND('Mentah Perbaikan UTS'!D15='Mentah Perbaikan UTS'!D$6,'Mentah Perbaikan UTS'!S15="S"),3,IF(AND('Mentah Perbaikan UTS'!D15&lt;&gt;'Mentah Perbaikan UTS'!D$6,'Mentah Perbaikan UTS'!S15="B"),2,IF(AND('Mentah Perbaikan UTS'!D15&lt;&gt;'Mentah Perbaikan UTS'!D$6,'Mentah Perbaikan UTS'!S15="S"),1,0))))</f>
        <v>3</v>
      </c>
      <c r="E14" s="56">
        <f>IF(AND('Mentah Perbaikan UTS'!E15='Mentah Perbaikan UTS'!E$6,'Mentah Perbaikan UTS'!T15="B"),4,IF(AND('Mentah Perbaikan UTS'!E15='Mentah Perbaikan UTS'!E$6,'Mentah Perbaikan UTS'!T15="S"),3,IF(AND('Mentah Perbaikan UTS'!E15&lt;&gt;'Mentah Perbaikan UTS'!E$6,'Mentah Perbaikan UTS'!T15="B"),2,IF(AND('Mentah Perbaikan UTS'!E15&lt;&gt;'Mentah Perbaikan UTS'!E$6,'Mentah Perbaikan UTS'!T15="S"),1,0))))</f>
        <v>1</v>
      </c>
      <c r="F14" s="56">
        <f>IF(AND('Mentah Perbaikan UTS'!F15='Mentah Perbaikan UTS'!F$6,'Mentah Perbaikan UTS'!U15="B"),4,IF(AND('Mentah Perbaikan UTS'!F15='Mentah Perbaikan UTS'!F$6,'Mentah Perbaikan UTS'!U15="S"),3,IF(AND('Mentah Perbaikan UTS'!F15&lt;&gt;'Mentah Perbaikan UTS'!F$6,'Mentah Perbaikan UTS'!U15="B"),2,IF(AND('Mentah Perbaikan UTS'!F15&lt;&gt;'Mentah Perbaikan UTS'!F$6,'Mentah Perbaikan UTS'!U15="S"),1,0))))</f>
        <v>4</v>
      </c>
      <c r="G14" s="56">
        <f>IF(AND('Mentah Perbaikan UTS'!G15='Mentah Perbaikan UTS'!G$6,'Mentah Perbaikan UTS'!V15="B"),4,IF(AND('Mentah Perbaikan UTS'!G15='Mentah Perbaikan UTS'!G$6,'Mentah Perbaikan UTS'!V15="S"),3,IF(AND('Mentah Perbaikan UTS'!G15&lt;&gt;'Mentah Perbaikan UTS'!G$6,'Mentah Perbaikan UTS'!V15="B"),2,IF(AND('Mentah Perbaikan UTS'!G15&lt;&gt;'Mentah Perbaikan UTS'!G$6,'Mentah Perbaikan UTS'!V15="S"),1,0))))</f>
        <v>4</v>
      </c>
      <c r="H14" s="56">
        <f>IF(AND('Mentah Perbaikan UTS'!H15='Mentah Perbaikan UTS'!H$6,'Mentah Perbaikan UTS'!W15="B"),4,IF(AND('Mentah Perbaikan UTS'!H15='Mentah Perbaikan UTS'!H$6,'Mentah Perbaikan UTS'!W15="S"),3,IF(AND('Mentah Perbaikan UTS'!H15&lt;&gt;'Mentah Perbaikan UTS'!H$6,'Mentah Perbaikan UTS'!W15="B"),2,IF(AND('Mentah Perbaikan UTS'!H15&lt;&gt;'Mentah Perbaikan UTS'!H$6,'Mentah Perbaikan UTS'!W15="S"),1,0))))</f>
        <v>1</v>
      </c>
      <c r="I14" s="56">
        <f>IF(AND('Mentah Perbaikan UTS'!I15='Mentah Perbaikan UTS'!I$6,'Mentah Perbaikan UTS'!X15="B"),4,IF(AND('Mentah Perbaikan UTS'!I15='Mentah Perbaikan UTS'!I$6,'Mentah Perbaikan UTS'!X15="S"),3,IF(AND('Mentah Perbaikan UTS'!I15&lt;&gt;'Mentah Perbaikan UTS'!I$6,'Mentah Perbaikan UTS'!X15="B"),2,IF(AND('Mentah Perbaikan UTS'!I15&lt;&gt;'Mentah Perbaikan UTS'!I$6,'Mentah Perbaikan UTS'!X15="S"),1,0))))</f>
        <v>4</v>
      </c>
      <c r="J14" s="56">
        <f>IF(AND('Mentah Perbaikan UTS'!J15='Mentah Perbaikan UTS'!J$6,'Mentah Perbaikan UTS'!Y15="B"),4,IF(AND('Mentah Perbaikan UTS'!J15='Mentah Perbaikan UTS'!J$6,'Mentah Perbaikan UTS'!Y15="S"),3,IF(AND('Mentah Perbaikan UTS'!J15&lt;&gt;'Mentah Perbaikan UTS'!J$6,'Mentah Perbaikan UTS'!Y15="B"),2,IF(AND('Mentah Perbaikan UTS'!J15&lt;&gt;'Mentah Perbaikan UTS'!J$6,'Mentah Perbaikan UTS'!Y15="S"),1,0))))</f>
        <v>4</v>
      </c>
      <c r="K14" s="56">
        <f>IF(AND('Mentah Perbaikan UTS'!K15='Mentah Perbaikan UTS'!K$6,'Mentah Perbaikan UTS'!Z15="B"),4,IF(AND('Mentah Perbaikan UTS'!K15='Mentah Perbaikan UTS'!K$6,'Mentah Perbaikan UTS'!Z15="S"),3,IF(AND('Mentah Perbaikan UTS'!K15&lt;&gt;'Mentah Perbaikan UTS'!K$6,'Mentah Perbaikan UTS'!Z15="B"),2,IF(AND('Mentah Perbaikan UTS'!K15&lt;&gt;'Mentah Perbaikan UTS'!K$6,'Mentah Perbaikan UTS'!Z15="S"),1,0))))</f>
        <v>4</v>
      </c>
      <c r="L14" s="56">
        <f>IF(AND('Mentah Perbaikan UTS'!L15='Mentah Perbaikan UTS'!L$6,'Mentah Perbaikan UTS'!AA15="B"),4,IF(AND('Mentah Perbaikan UTS'!L15='Mentah Perbaikan UTS'!L$6,'Mentah Perbaikan UTS'!AA15="S"),3,IF(AND('Mentah Perbaikan UTS'!L15&lt;&gt;'Mentah Perbaikan UTS'!L$6,'Mentah Perbaikan UTS'!AA15="B"),2,IF(AND('Mentah Perbaikan UTS'!L15&lt;&gt;'Mentah Perbaikan UTS'!L$6,'Mentah Perbaikan UTS'!AA15="S"),1,0))))</f>
        <v>1</v>
      </c>
      <c r="M14" s="56">
        <f>IF(AND('Mentah Perbaikan UTS'!M15='Mentah Perbaikan UTS'!M$6,'Mentah Perbaikan UTS'!AB15="B"),4,IF(AND('Mentah Perbaikan UTS'!M15='Mentah Perbaikan UTS'!M$6,'Mentah Perbaikan UTS'!AB15="S"),3,IF(AND('Mentah Perbaikan UTS'!M15&lt;&gt;'Mentah Perbaikan UTS'!M$6,'Mentah Perbaikan UTS'!AB15="B"),2,IF(AND('Mentah Perbaikan UTS'!M15&lt;&gt;'Mentah Perbaikan UTS'!M$6,'Mentah Perbaikan UTS'!AB15="S"),1,0))))</f>
        <v>4</v>
      </c>
      <c r="N14" s="56">
        <f>IF(AND('Mentah Perbaikan UTS'!N15='Mentah Perbaikan UTS'!N$6,'Mentah Perbaikan UTS'!AC15="B"),4,IF(AND('Mentah Perbaikan UTS'!N15='Mentah Perbaikan UTS'!N$6,'Mentah Perbaikan UTS'!AC15="S"),3,IF(AND('Mentah Perbaikan UTS'!N15&lt;&gt;'Mentah Perbaikan UTS'!N$6,'Mentah Perbaikan UTS'!AC15="B"),2,IF(AND('Mentah Perbaikan UTS'!N15&lt;&gt;'Mentah Perbaikan UTS'!N$6,'Mentah Perbaikan UTS'!AC15="S"),1,0))))</f>
        <v>1</v>
      </c>
      <c r="O14" s="56">
        <f>IF(AND('Mentah Perbaikan UTS'!O15='Mentah Perbaikan UTS'!O$6,'Mentah Perbaikan UTS'!AD15="B"),4,IF(AND('Mentah Perbaikan UTS'!O15='Mentah Perbaikan UTS'!O$6,'Mentah Perbaikan UTS'!AD15="S"),3,IF(AND('Mentah Perbaikan UTS'!O15&lt;&gt;'Mentah Perbaikan UTS'!O$6,'Mentah Perbaikan UTS'!AD15="B"),2,IF(AND('Mentah Perbaikan UTS'!O15&lt;&gt;'Mentah Perbaikan UTS'!O$6,'Mentah Perbaikan UTS'!AD15="S"),1,0))))</f>
        <v>3</v>
      </c>
      <c r="P14" s="56">
        <f>IF(AND('Mentah Perbaikan UTS'!P15='Mentah Perbaikan UTS'!P$6,'Mentah Perbaikan UTS'!AE15="B"),4,IF(AND('Mentah Perbaikan UTS'!P15='Mentah Perbaikan UTS'!P$6,'Mentah Perbaikan UTS'!AE15="S"),3,IF(AND('Mentah Perbaikan UTS'!P15&lt;&gt;'Mentah Perbaikan UTS'!P$6,'Mentah Perbaikan UTS'!AE15="B"),2,IF(AND('Mentah Perbaikan UTS'!P15&lt;&gt;'Mentah Perbaikan UTS'!P$6,'Mentah Perbaikan UTS'!AE15="S"),1,0))))</f>
        <v>1</v>
      </c>
      <c r="Q14" s="56">
        <f>IF(AND('Mentah Perbaikan UTS'!Q15='Mentah Perbaikan UTS'!Q$6,'Mentah Perbaikan UTS'!AF15="B"),4,IF(AND('Mentah Perbaikan UTS'!Q15='Mentah Perbaikan UTS'!Q$6,'Mentah Perbaikan UTS'!AF15="S"),3,IF(AND('Mentah Perbaikan UTS'!Q15&lt;&gt;'Mentah Perbaikan UTS'!Q$6,'Mentah Perbaikan UTS'!AF15="B"),2,IF(AND('Mentah Perbaikan UTS'!Q15&lt;&gt;'Mentah Perbaikan UTS'!Q$6,'Mentah Perbaikan UTS'!AF15="S"),1,0))))</f>
        <v>2</v>
      </c>
      <c r="R14" s="57">
        <f t="shared" si="0"/>
        <v>68.333333333333329</v>
      </c>
    </row>
    <row r="15" spans="1:20" ht="15.75" customHeight="1">
      <c r="A15" s="3">
        <v>20070795026</v>
      </c>
      <c r="B15" s="9" t="s">
        <v>21</v>
      </c>
      <c r="C15" s="56">
        <f>IF(AND('Mentah Perbaikan UTS'!C16='Mentah Perbaikan UTS'!C$6,'Mentah Perbaikan UTS'!R16="B"),4,IF(AND('Mentah Perbaikan UTS'!C16='Mentah Perbaikan UTS'!C$6,'Mentah Perbaikan UTS'!R16="S"),3,IF(AND('Mentah Perbaikan UTS'!C16&lt;&gt;'Mentah Perbaikan UTS'!C$6,'Mentah Perbaikan UTS'!R16="B"),2,IF(AND('Mentah Perbaikan UTS'!C16&lt;&gt;'Mentah Perbaikan UTS'!C$6,'Mentah Perbaikan UTS'!R16="S"),1,0))))</f>
        <v>4</v>
      </c>
      <c r="D15" s="56">
        <f>IF(AND('Mentah Perbaikan UTS'!D16='Mentah Perbaikan UTS'!D$6,'Mentah Perbaikan UTS'!S16="B"),4,IF(AND('Mentah Perbaikan UTS'!D16='Mentah Perbaikan UTS'!D$6,'Mentah Perbaikan UTS'!S16="S"),3,IF(AND('Mentah Perbaikan UTS'!D16&lt;&gt;'Mentah Perbaikan UTS'!D$6,'Mentah Perbaikan UTS'!S16="B"),2,IF(AND('Mentah Perbaikan UTS'!D16&lt;&gt;'Mentah Perbaikan UTS'!D$6,'Mentah Perbaikan UTS'!S16="S"),1,0))))</f>
        <v>4</v>
      </c>
      <c r="E15" s="56">
        <f>IF(AND('Mentah Perbaikan UTS'!E16='Mentah Perbaikan UTS'!E$6,'Mentah Perbaikan UTS'!T16="B"),4,IF(AND('Mentah Perbaikan UTS'!E16='Mentah Perbaikan UTS'!E$6,'Mentah Perbaikan UTS'!T16="S"),3,IF(AND('Mentah Perbaikan UTS'!E16&lt;&gt;'Mentah Perbaikan UTS'!E$6,'Mentah Perbaikan UTS'!T16="B"),2,IF(AND('Mentah Perbaikan UTS'!E16&lt;&gt;'Mentah Perbaikan UTS'!E$6,'Mentah Perbaikan UTS'!T16="S"),1,0))))</f>
        <v>4</v>
      </c>
      <c r="F15" s="56">
        <f>IF(AND('Mentah Perbaikan UTS'!F16='Mentah Perbaikan UTS'!F$6,'Mentah Perbaikan UTS'!U16="B"),4,IF(AND('Mentah Perbaikan UTS'!F16='Mentah Perbaikan UTS'!F$6,'Mentah Perbaikan UTS'!U16="S"),3,IF(AND('Mentah Perbaikan UTS'!F16&lt;&gt;'Mentah Perbaikan UTS'!F$6,'Mentah Perbaikan UTS'!U16="B"),2,IF(AND('Mentah Perbaikan UTS'!F16&lt;&gt;'Mentah Perbaikan UTS'!F$6,'Mentah Perbaikan UTS'!U16="S"),1,0))))</f>
        <v>1</v>
      </c>
      <c r="G15" s="56">
        <f>IF(AND('Mentah Perbaikan UTS'!G16='Mentah Perbaikan UTS'!G$6,'Mentah Perbaikan UTS'!V16="B"),4,IF(AND('Mentah Perbaikan UTS'!G16='Mentah Perbaikan UTS'!G$6,'Mentah Perbaikan UTS'!V16="S"),3,IF(AND('Mentah Perbaikan UTS'!G16&lt;&gt;'Mentah Perbaikan UTS'!G$6,'Mentah Perbaikan UTS'!V16="B"),2,IF(AND('Mentah Perbaikan UTS'!G16&lt;&gt;'Mentah Perbaikan UTS'!G$6,'Mentah Perbaikan UTS'!V16="S"),1,0))))</f>
        <v>4</v>
      </c>
      <c r="H15" s="56">
        <f>IF(AND('Mentah Perbaikan UTS'!H16='Mentah Perbaikan UTS'!H$6,'Mentah Perbaikan UTS'!W16="B"),4,IF(AND('Mentah Perbaikan UTS'!H16='Mentah Perbaikan UTS'!H$6,'Mentah Perbaikan UTS'!W16="S"),3,IF(AND('Mentah Perbaikan UTS'!H16&lt;&gt;'Mentah Perbaikan UTS'!H$6,'Mentah Perbaikan UTS'!W16="B"),2,IF(AND('Mentah Perbaikan UTS'!H16&lt;&gt;'Mentah Perbaikan UTS'!H$6,'Mentah Perbaikan UTS'!W16="S"),1,0))))</f>
        <v>4</v>
      </c>
      <c r="I15" s="56">
        <f>IF(AND('Mentah Perbaikan UTS'!I16='Mentah Perbaikan UTS'!I$6,'Mentah Perbaikan UTS'!X16="B"),4,IF(AND('Mentah Perbaikan UTS'!I16='Mentah Perbaikan UTS'!I$6,'Mentah Perbaikan UTS'!X16="S"),3,IF(AND('Mentah Perbaikan UTS'!I16&lt;&gt;'Mentah Perbaikan UTS'!I$6,'Mentah Perbaikan UTS'!X16="B"),2,IF(AND('Mentah Perbaikan UTS'!I16&lt;&gt;'Mentah Perbaikan UTS'!I$6,'Mentah Perbaikan UTS'!X16="S"),1,0))))</f>
        <v>4</v>
      </c>
      <c r="J15" s="56">
        <f>IF(AND('Mentah Perbaikan UTS'!J16='Mentah Perbaikan UTS'!J$6,'Mentah Perbaikan UTS'!Y16="B"),4,IF(AND('Mentah Perbaikan UTS'!J16='Mentah Perbaikan UTS'!J$6,'Mentah Perbaikan UTS'!Y16="S"),3,IF(AND('Mentah Perbaikan UTS'!J16&lt;&gt;'Mentah Perbaikan UTS'!J$6,'Mentah Perbaikan UTS'!Y16="B"),2,IF(AND('Mentah Perbaikan UTS'!J16&lt;&gt;'Mentah Perbaikan UTS'!J$6,'Mentah Perbaikan UTS'!Y16="S"),1,0))))</f>
        <v>1</v>
      </c>
      <c r="K15" s="56">
        <f>IF(AND('Mentah Perbaikan UTS'!K16='Mentah Perbaikan UTS'!K$6,'Mentah Perbaikan UTS'!Z16="B"),4,IF(AND('Mentah Perbaikan UTS'!K16='Mentah Perbaikan UTS'!K$6,'Mentah Perbaikan UTS'!Z16="S"),3,IF(AND('Mentah Perbaikan UTS'!K16&lt;&gt;'Mentah Perbaikan UTS'!K$6,'Mentah Perbaikan UTS'!Z16="B"),2,IF(AND('Mentah Perbaikan UTS'!K16&lt;&gt;'Mentah Perbaikan UTS'!K$6,'Mentah Perbaikan UTS'!Z16="S"),1,0))))</f>
        <v>4</v>
      </c>
      <c r="L15" s="56">
        <f>IF(AND('Mentah Perbaikan UTS'!L16='Mentah Perbaikan UTS'!L$6,'Mentah Perbaikan UTS'!AA16="B"),4,IF(AND('Mentah Perbaikan UTS'!L16='Mentah Perbaikan UTS'!L$6,'Mentah Perbaikan UTS'!AA16="S"),3,IF(AND('Mentah Perbaikan UTS'!L16&lt;&gt;'Mentah Perbaikan UTS'!L$6,'Mentah Perbaikan UTS'!AA16="B"),2,IF(AND('Mentah Perbaikan UTS'!L16&lt;&gt;'Mentah Perbaikan UTS'!L$6,'Mentah Perbaikan UTS'!AA16="S"),1,0))))</f>
        <v>1</v>
      </c>
      <c r="M15" s="56">
        <f>IF(AND('Mentah Perbaikan UTS'!M16='Mentah Perbaikan UTS'!M$6,'Mentah Perbaikan UTS'!AB16="B"),4,IF(AND('Mentah Perbaikan UTS'!M16='Mentah Perbaikan UTS'!M$6,'Mentah Perbaikan UTS'!AB16="S"),3,IF(AND('Mentah Perbaikan UTS'!M16&lt;&gt;'Mentah Perbaikan UTS'!M$6,'Mentah Perbaikan UTS'!AB16="B"),2,IF(AND('Mentah Perbaikan UTS'!M16&lt;&gt;'Mentah Perbaikan UTS'!M$6,'Mentah Perbaikan UTS'!AB16="S"),1,0))))</f>
        <v>2</v>
      </c>
      <c r="N15" s="56">
        <f>IF(AND('Mentah Perbaikan UTS'!N16='Mentah Perbaikan UTS'!N$6,'Mentah Perbaikan UTS'!AC16="B"),4,IF(AND('Mentah Perbaikan UTS'!N16='Mentah Perbaikan UTS'!N$6,'Mentah Perbaikan UTS'!AC16="S"),3,IF(AND('Mentah Perbaikan UTS'!N16&lt;&gt;'Mentah Perbaikan UTS'!N$6,'Mentah Perbaikan UTS'!AC16="B"),2,IF(AND('Mentah Perbaikan UTS'!N16&lt;&gt;'Mentah Perbaikan UTS'!N$6,'Mentah Perbaikan UTS'!AC16="S"),1,0))))</f>
        <v>1</v>
      </c>
      <c r="O15" s="56">
        <f>IF(AND('Mentah Perbaikan UTS'!O16='Mentah Perbaikan UTS'!O$6,'Mentah Perbaikan UTS'!AD16="B"),4,IF(AND('Mentah Perbaikan UTS'!O16='Mentah Perbaikan UTS'!O$6,'Mentah Perbaikan UTS'!AD16="S"),3,IF(AND('Mentah Perbaikan UTS'!O16&lt;&gt;'Mentah Perbaikan UTS'!O$6,'Mentah Perbaikan UTS'!AD16="B"),2,IF(AND('Mentah Perbaikan UTS'!O16&lt;&gt;'Mentah Perbaikan UTS'!O$6,'Mentah Perbaikan UTS'!AD16="S"),1,0))))</f>
        <v>3</v>
      </c>
      <c r="P15" s="56">
        <f>IF(AND('Mentah Perbaikan UTS'!P16='Mentah Perbaikan UTS'!P$6,'Mentah Perbaikan UTS'!AE16="B"),4,IF(AND('Mentah Perbaikan UTS'!P16='Mentah Perbaikan UTS'!P$6,'Mentah Perbaikan UTS'!AE16="S"),3,IF(AND('Mentah Perbaikan UTS'!P16&lt;&gt;'Mentah Perbaikan UTS'!P$6,'Mentah Perbaikan UTS'!AE16="B"),2,IF(AND('Mentah Perbaikan UTS'!P16&lt;&gt;'Mentah Perbaikan UTS'!P$6,'Mentah Perbaikan UTS'!AE16="S"),1,0))))</f>
        <v>3</v>
      </c>
      <c r="Q15" s="56">
        <f>IF(AND('Mentah Perbaikan UTS'!Q16='Mentah Perbaikan UTS'!Q$6,'Mentah Perbaikan UTS'!AF16="B"),4,IF(AND('Mentah Perbaikan UTS'!Q16='Mentah Perbaikan UTS'!Q$6,'Mentah Perbaikan UTS'!AF16="S"),3,IF(AND('Mentah Perbaikan UTS'!Q16&lt;&gt;'Mentah Perbaikan UTS'!Q$6,'Mentah Perbaikan UTS'!AF16="B"),2,IF(AND('Mentah Perbaikan UTS'!Q16&lt;&gt;'Mentah Perbaikan UTS'!Q$6,'Mentah Perbaikan UTS'!AF16="S"),1,0))))</f>
        <v>1</v>
      </c>
      <c r="R15" s="57">
        <f t="shared" si="0"/>
        <v>68.333333333333329</v>
      </c>
    </row>
    <row r="16" spans="1:20" ht="15.75" customHeight="1">
      <c r="A16" s="3">
        <v>20070795010</v>
      </c>
      <c r="B16" s="9" t="s">
        <v>22</v>
      </c>
      <c r="C16" s="56">
        <f>IF(AND('Mentah Perbaikan UTS'!C17='Mentah Perbaikan UTS'!C$6,'Mentah Perbaikan UTS'!R17="B"),4,IF(AND('Mentah Perbaikan UTS'!C17='Mentah Perbaikan UTS'!C$6,'Mentah Perbaikan UTS'!R17="S"),3,IF(AND('Mentah Perbaikan UTS'!C17&lt;&gt;'Mentah Perbaikan UTS'!C$6,'Mentah Perbaikan UTS'!R17="B"),2,IF(AND('Mentah Perbaikan UTS'!C17&lt;&gt;'Mentah Perbaikan UTS'!C$6,'Mentah Perbaikan UTS'!R17="S"),1,0))))</f>
        <v>4</v>
      </c>
      <c r="D16" s="56">
        <f>IF(AND('Mentah Perbaikan UTS'!D17='Mentah Perbaikan UTS'!D$6,'Mentah Perbaikan UTS'!S17="B"),4,IF(AND('Mentah Perbaikan UTS'!D17='Mentah Perbaikan UTS'!D$6,'Mentah Perbaikan UTS'!S17="S"),3,IF(AND('Mentah Perbaikan UTS'!D17&lt;&gt;'Mentah Perbaikan UTS'!D$6,'Mentah Perbaikan UTS'!S17="B"),2,IF(AND('Mentah Perbaikan UTS'!D17&lt;&gt;'Mentah Perbaikan UTS'!D$6,'Mentah Perbaikan UTS'!S17="S"),1,0))))</f>
        <v>3</v>
      </c>
      <c r="E16" s="56">
        <f>IF(AND('Mentah Perbaikan UTS'!E17='Mentah Perbaikan UTS'!E$6,'Mentah Perbaikan UTS'!T17="B"),4,IF(AND('Mentah Perbaikan UTS'!E17='Mentah Perbaikan UTS'!E$6,'Mentah Perbaikan UTS'!T17="S"),3,IF(AND('Mentah Perbaikan UTS'!E17&lt;&gt;'Mentah Perbaikan UTS'!E$6,'Mentah Perbaikan UTS'!T17="B"),2,IF(AND('Mentah Perbaikan UTS'!E17&lt;&gt;'Mentah Perbaikan UTS'!E$6,'Mentah Perbaikan UTS'!T17="S"),1,0))))</f>
        <v>1</v>
      </c>
      <c r="F16" s="56">
        <f>IF(AND('Mentah Perbaikan UTS'!F17='Mentah Perbaikan UTS'!F$6,'Mentah Perbaikan UTS'!U17="B"),4,IF(AND('Mentah Perbaikan UTS'!F17='Mentah Perbaikan UTS'!F$6,'Mentah Perbaikan UTS'!U17="S"),3,IF(AND('Mentah Perbaikan UTS'!F17&lt;&gt;'Mentah Perbaikan UTS'!F$6,'Mentah Perbaikan UTS'!U17="B"),2,IF(AND('Mentah Perbaikan UTS'!F17&lt;&gt;'Mentah Perbaikan UTS'!F$6,'Mentah Perbaikan UTS'!U17="S"),1,0))))</f>
        <v>1</v>
      </c>
      <c r="G16" s="56">
        <f>IF(AND('Mentah Perbaikan UTS'!G17='Mentah Perbaikan UTS'!G$6,'Mentah Perbaikan UTS'!V17="B"),4,IF(AND('Mentah Perbaikan UTS'!G17='Mentah Perbaikan UTS'!G$6,'Mentah Perbaikan UTS'!V17="S"),3,IF(AND('Mentah Perbaikan UTS'!G17&lt;&gt;'Mentah Perbaikan UTS'!G$6,'Mentah Perbaikan UTS'!V17="B"),2,IF(AND('Mentah Perbaikan UTS'!G17&lt;&gt;'Mentah Perbaikan UTS'!G$6,'Mentah Perbaikan UTS'!V17="S"),1,0))))</f>
        <v>3</v>
      </c>
      <c r="H16" s="56">
        <f>IF(AND('Mentah Perbaikan UTS'!H17='Mentah Perbaikan UTS'!H$6,'Mentah Perbaikan UTS'!W17="B"),4,IF(AND('Mentah Perbaikan UTS'!H17='Mentah Perbaikan UTS'!H$6,'Mentah Perbaikan UTS'!W17="S"),3,IF(AND('Mentah Perbaikan UTS'!H17&lt;&gt;'Mentah Perbaikan UTS'!H$6,'Mentah Perbaikan UTS'!W17="B"),2,IF(AND('Mentah Perbaikan UTS'!H17&lt;&gt;'Mentah Perbaikan UTS'!H$6,'Mentah Perbaikan UTS'!W17="S"),1,0))))</f>
        <v>1</v>
      </c>
      <c r="I16" s="56">
        <f>IF(AND('Mentah Perbaikan UTS'!I17='Mentah Perbaikan UTS'!I$6,'Mentah Perbaikan UTS'!X17="B"),4,IF(AND('Mentah Perbaikan UTS'!I17='Mentah Perbaikan UTS'!I$6,'Mentah Perbaikan UTS'!X17="S"),3,IF(AND('Mentah Perbaikan UTS'!I17&lt;&gt;'Mentah Perbaikan UTS'!I$6,'Mentah Perbaikan UTS'!X17="B"),2,IF(AND('Mentah Perbaikan UTS'!I17&lt;&gt;'Mentah Perbaikan UTS'!I$6,'Mentah Perbaikan UTS'!X17="S"),1,0))))</f>
        <v>1</v>
      </c>
      <c r="J16" s="56">
        <f>IF(AND('Mentah Perbaikan UTS'!J17='Mentah Perbaikan UTS'!J$6,'Mentah Perbaikan UTS'!Y17="B"),4,IF(AND('Mentah Perbaikan UTS'!J17='Mentah Perbaikan UTS'!J$6,'Mentah Perbaikan UTS'!Y17="S"),3,IF(AND('Mentah Perbaikan UTS'!J17&lt;&gt;'Mentah Perbaikan UTS'!J$6,'Mentah Perbaikan UTS'!Y17="B"),2,IF(AND('Mentah Perbaikan UTS'!J17&lt;&gt;'Mentah Perbaikan UTS'!J$6,'Mentah Perbaikan UTS'!Y17="S"),1,0))))</f>
        <v>3</v>
      </c>
      <c r="K16" s="56">
        <f>IF(AND('Mentah Perbaikan UTS'!K17='Mentah Perbaikan UTS'!K$6,'Mentah Perbaikan UTS'!Z17="B"),4,IF(AND('Mentah Perbaikan UTS'!K17='Mentah Perbaikan UTS'!K$6,'Mentah Perbaikan UTS'!Z17="S"),3,IF(AND('Mentah Perbaikan UTS'!K17&lt;&gt;'Mentah Perbaikan UTS'!K$6,'Mentah Perbaikan UTS'!Z17="B"),2,IF(AND('Mentah Perbaikan UTS'!K17&lt;&gt;'Mentah Perbaikan UTS'!K$6,'Mentah Perbaikan UTS'!Z17="S"),1,0))))</f>
        <v>3</v>
      </c>
      <c r="L16" s="56">
        <f>IF(AND('Mentah Perbaikan UTS'!L17='Mentah Perbaikan UTS'!L$6,'Mentah Perbaikan UTS'!AA17="B"),4,IF(AND('Mentah Perbaikan UTS'!L17='Mentah Perbaikan UTS'!L$6,'Mentah Perbaikan UTS'!AA17="S"),3,IF(AND('Mentah Perbaikan UTS'!L17&lt;&gt;'Mentah Perbaikan UTS'!L$6,'Mentah Perbaikan UTS'!AA17="B"),2,IF(AND('Mentah Perbaikan UTS'!L17&lt;&gt;'Mentah Perbaikan UTS'!L$6,'Mentah Perbaikan UTS'!AA17="S"),1,0))))</f>
        <v>1</v>
      </c>
      <c r="M16" s="56">
        <f>IF(AND('Mentah Perbaikan UTS'!M17='Mentah Perbaikan UTS'!M$6,'Mentah Perbaikan UTS'!AB17="B"),4,IF(AND('Mentah Perbaikan UTS'!M17='Mentah Perbaikan UTS'!M$6,'Mentah Perbaikan UTS'!AB17="S"),3,IF(AND('Mentah Perbaikan UTS'!M17&lt;&gt;'Mentah Perbaikan UTS'!M$6,'Mentah Perbaikan UTS'!AB17="B"),2,IF(AND('Mentah Perbaikan UTS'!M17&lt;&gt;'Mentah Perbaikan UTS'!M$6,'Mentah Perbaikan UTS'!AB17="S"),1,0))))</f>
        <v>3</v>
      </c>
      <c r="N16" s="56">
        <f>IF(AND('Mentah Perbaikan UTS'!N17='Mentah Perbaikan UTS'!N$6,'Mentah Perbaikan UTS'!AC17="B"),4,IF(AND('Mentah Perbaikan UTS'!N17='Mentah Perbaikan UTS'!N$6,'Mentah Perbaikan UTS'!AC17="S"),3,IF(AND('Mentah Perbaikan UTS'!N17&lt;&gt;'Mentah Perbaikan UTS'!N$6,'Mentah Perbaikan UTS'!AC17="B"),2,IF(AND('Mentah Perbaikan UTS'!N17&lt;&gt;'Mentah Perbaikan UTS'!N$6,'Mentah Perbaikan UTS'!AC17="S"),1,0))))</f>
        <v>1</v>
      </c>
      <c r="O16" s="56">
        <f>IF(AND('Mentah Perbaikan UTS'!O17='Mentah Perbaikan UTS'!O$6,'Mentah Perbaikan UTS'!AD17="B"),4,IF(AND('Mentah Perbaikan UTS'!O17='Mentah Perbaikan UTS'!O$6,'Mentah Perbaikan UTS'!AD17="S"),3,IF(AND('Mentah Perbaikan UTS'!O17&lt;&gt;'Mentah Perbaikan UTS'!O$6,'Mentah Perbaikan UTS'!AD17="B"),2,IF(AND('Mentah Perbaikan UTS'!O17&lt;&gt;'Mentah Perbaikan UTS'!O$6,'Mentah Perbaikan UTS'!AD17="S"),1,0))))</f>
        <v>3</v>
      </c>
      <c r="P16" s="56">
        <f>IF(AND('Mentah Perbaikan UTS'!P17='Mentah Perbaikan UTS'!P$6,'Mentah Perbaikan UTS'!AE17="B"),4,IF(AND('Mentah Perbaikan UTS'!P17='Mentah Perbaikan UTS'!P$6,'Mentah Perbaikan UTS'!AE17="S"),3,IF(AND('Mentah Perbaikan UTS'!P17&lt;&gt;'Mentah Perbaikan UTS'!P$6,'Mentah Perbaikan UTS'!AE17="B"),2,IF(AND('Mentah Perbaikan UTS'!P17&lt;&gt;'Mentah Perbaikan UTS'!P$6,'Mentah Perbaikan UTS'!AE17="S"),1,0))))</f>
        <v>1</v>
      </c>
      <c r="Q16" s="56">
        <f>IF(AND('Mentah Perbaikan UTS'!Q17='Mentah Perbaikan UTS'!Q$6,'Mentah Perbaikan UTS'!AF17="B"),4,IF(AND('Mentah Perbaikan UTS'!Q17='Mentah Perbaikan UTS'!Q$6,'Mentah Perbaikan UTS'!AF17="S"),3,IF(AND('Mentah Perbaikan UTS'!Q17&lt;&gt;'Mentah Perbaikan UTS'!Q$6,'Mentah Perbaikan UTS'!AF17="B"),2,IF(AND('Mentah Perbaikan UTS'!Q17&lt;&gt;'Mentah Perbaikan UTS'!Q$6,'Mentah Perbaikan UTS'!AF17="S"),1,0))))</f>
        <v>1</v>
      </c>
      <c r="R16" s="57">
        <f t="shared" si="0"/>
        <v>50</v>
      </c>
    </row>
    <row r="17" spans="1:18" ht="15.75" customHeight="1">
      <c r="A17" s="3">
        <v>20070795013</v>
      </c>
      <c r="B17" s="9" t="s">
        <v>23</v>
      </c>
      <c r="C17" s="56">
        <f>IF(AND('Mentah Perbaikan UTS'!C18='Mentah Perbaikan UTS'!C$6,'Mentah Perbaikan UTS'!R18="B"),4,IF(AND('Mentah Perbaikan UTS'!C18='Mentah Perbaikan UTS'!C$6,'Mentah Perbaikan UTS'!R18="S"),3,IF(AND('Mentah Perbaikan UTS'!C18&lt;&gt;'Mentah Perbaikan UTS'!C$6,'Mentah Perbaikan UTS'!R18="B"),2,IF(AND('Mentah Perbaikan UTS'!C18&lt;&gt;'Mentah Perbaikan UTS'!C$6,'Mentah Perbaikan UTS'!R18="S"),1,0))))</f>
        <v>4</v>
      </c>
      <c r="D17" s="56">
        <f>IF(AND('Mentah Perbaikan UTS'!D18='Mentah Perbaikan UTS'!D$6,'Mentah Perbaikan UTS'!S18="B"),4,IF(AND('Mentah Perbaikan UTS'!D18='Mentah Perbaikan UTS'!D$6,'Mentah Perbaikan UTS'!S18="S"),3,IF(AND('Mentah Perbaikan UTS'!D18&lt;&gt;'Mentah Perbaikan UTS'!D$6,'Mentah Perbaikan UTS'!S18="B"),2,IF(AND('Mentah Perbaikan UTS'!D18&lt;&gt;'Mentah Perbaikan UTS'!D$6,'Mentah Perbaikan UTS'!S18="S"),1,0))))</f>
        <v>4</v>
      </c>
      <c r="E17" s="56">
        <f>IF(AND('Mentah Perbaikan UTS'!E18='Mentah Perbaikan UTS'!E$6,'Mentah Perbaikan UTS'!T18="B"),4,IF(AND('Mentah Perbaikan UTS'!E18='Mentah Perbaikan UTS'!E$6,'Mentah Perbaikan UTS'!T18="S"),3,IF(AND('Mentah Perbaikan UTS'!E18&lt;&gt;'Mentah Perbaikan UTS'!E$6,'Mentah Perbaikan UTS'!T18="B"),2,IF(AND('Mentah Perbaikan UTS'!E18&lt;&gt;'Mentah Perbaikan UTS'!E$6,'Mentah Perbaikan UTS'!T18="S"),1,0))))</f>
        <v>2</v>
      </c>
      <c r="F17" s="56">
        <f>IF(AND('Mentah Perbaikan UTS'!F18='Mentah Perbaikan UTS'!F$6,'Mentah Perbaikan UTS'!U18="B"),4,IF(AND('Mentah Perbaikan UTS'!F18='Mentah Perbaikan UTS'!F$6,'Mentah Perbaikan UTS'!U18="S"),3,IF(AND('Mentah Perbaikan UTS'!F18&lt;&gt;'Mentah Perbaikan UTS'!F$6,'Mentah Perbaikan UTS'!U18="B"),2,IF(AND('Mentah Perbaikan UTS'!F18&lt;&gt;'Mentah Perbaikan UTS'!F$6,'Mentah Perbaikan UTS'!U18="S"),1,0))))</f>
        <v>1</v>
      </c>
      <c r="G17" s="56">
        <f>IF(AND('Mentah Perbaikan UTS'!G18='Mentah Perbaikan UTS'!G$6,'Mentah Perbaikan UTS'!V18="B"),4,IF(AND('Mentah Perbaikan UTS'!G18='Mentah Perbaikan UTS'!G$6,'Mentah Perbaikan UTS'!V18="S"),3,IF(AND('Mentah Perbaikan UTS'!G18&lt;&gt;'Mentah Perbaikan UTS'!G$6,'Mentah Perbaikan UTS'!V18="B"),2,IF(AND('Mentah Perbaikan UTS'!G18&lt;&gt;'Mentah Perbaikan UTS'!G$6,'Mentah Perbaikan UTS'!V18="S"),1,0))))</f>
        <v>4</v>
      </c>
      <c r="H17" s="56">
        <f>IF(AND('Mentah Perbaikan UTS'!H18='Mentah Perbaikan UTS'!H$6,'Mentah Perbaikan UTS'!W18="B"),4,IF(AND('Mentah Perbaikan UTS'!H18='Mentah Perbaikan UTS'!H$6,'Mentah Perbaikan UTS'!W18="S"),3,IF(AND('Mentah Perbaikan UTS'!H18&lt;&gt;'Mentah Perbaikan UTS'!H$6,'Mentah Perbaikan UTS'!W18="B"),2,IF(AND('Mentah Perbaikan UTS'!H18&lt;&gt;'Mentah Perbaikan UTS'!H$6,'Mentah Perbaikan UTS'!W18="S"),1,0))))</f>
        <v>1</v>
      </c>
      <c r="I17" s="56">
        <f>IF(AND('Mentah Perbaikan UTS'!I18='Mentah Perbaikan UTS'!I$6,'Mentah Perbaikan UTS'!X18="B"),4,IF(AND('Mentah Perbaikan UTS'!I18='Mentah Perbaikan UTS'!I$6,'Mentah Perbaikan UTS'!X18="S"),3,IF(AND('Mentah Perbaikan UTS'!I18&lt;&gt;'Mentah Perbaikan UTS'!I$6,'Mentah Perbaikan UTS'!X18="B"),2,IF(AND('Mentah Perbaikan UTS'!I18&lt;&gt;'Mentah Perbaikan UTS'!I$6,'Mentah Perbaikan UTS'!X18="S"),1,0))))</f>
        <v>4</v>
      </c>
      <c r="J17" s="56">
        <f>IF(AND('Mentah Perbaikan UTS'!J18='Mentah Perbaikan UTS'!J$6,'Mentah Perbaikan UTS'!Y18="B"),4,IF(AND('Mentah Perbaikan UTS'!J18='Mentah Perbaikan UTS'!J$6,'Mentah Perbaikan UTS'!Y18="S"),3,IF(AND('Mentah Perbaikan UTS'!J18&lt;&gt;'Mentah Perbaikan UTS'!J$6,'Mentah Perbaikan UTS'!Y18="B"),2,IF(AND('Mentah Perbaikan UTS'!J18&lt;&gt;'Mentah Perbaikan UTS'!J$6,'Mentah Perbaikan UTS'!Y18="S"),1,0))))</f>
        <v>3</v>
      </c>
      <c r="K17" s="56">
        <f>IF(AND('Mentah Perbaikan UTS'!K18='Mentah Perbaikan UTS'!K$6,'Mentah Perbaikan UTS'!Z18="B"),4,IF(AND('Mentah Perbaikan UTS'!K18='Mentah Perbaikan UTS'!K$6,'Mentah Perbaikan UTS'!Z18="S"),3,IF(AND('Mentah Perbaikan UTS'!K18&lt;&gt;'Mentah Perbaikan UTS'!K$6,'Mentah Perbaikan UTS'!Z18="B"),2,IF(AND('Mentah Perbaikan UTS'!K18&lt;&gt;'Mentah Perbaikan UTS'!K$6,'Mentah Perbaikan UTS'!Z18="S"),1,0))))</f>
        <v>4</v>
      </c>
      <c r="L17" s="56">
        <f>IF(AND('Mentah Perbaikan UTS'!L18='Mentah Perbaikan UTS'!L$6,'Mentah Perbaikan UTS'!AA18="B"),4,IF(AND('Mentah Perbaikan UTS'!L18='Mentah Perbaikan UTS'!L$6,'Mentah Perbaikan UTS'!AA18="S"),3,IF(AND('Mentah Perbaikan UTS'!L18&lt;&gt;'Mentah Perbaikan UTS'!L$6,'Mentah Perbaikan UTS'!AA18="B"),2,IF(AND('Mentah Perbaikan UTS'!L18&lt;&gt;'Mentah Perbaikan UTS'!L$6,'Mentah Perbaikan UTS'!AA18="S"),1,0))))</f>
        <v>1</v>
      </c>
      <c r="M17" s="56">
        <f>IF(AND('Mentah Perbaikan UTS'!M18='Mentah Perbaikan UTS'!M$6,'Mentah Perbaikan UTS'!AB18="B"),4,IF(AND('Mentah Perbaikan UTS'!M18='Mentah Perbaikan UTS'!M$6,'Mentah Perbaikan UTS'!AB18="S"),3,IF(AND('Mentah Perbaikan UTS'!M18&lt;&gt;'Mentah Perbaikan UTS'!M$6,'Mentah Perbaikan UTS'!AB18="B"),2,IF(AND('Mentah Perbaikan UTS'!M18&lt;&gt;'Mentah Perbaikan UTS'!M$6,'Mentah Perbaikan UTS'!AB18="S"),1,0))))</f>
        <v>1</v>
      </c>
      <c r="N17" s="56">
        <f>IF(AND('Mentah Perbaikan UTS'!N18='Mentah Perbaikan UTS'!N$6,'Mentah Perbaikan UTS'!AC18="B"),4,IF(AND('Mentah Perbaikan UTS'!N18='Mentah Perbaikan UTS'!N$6,'Mentah Perbaikan UTS'!AC18="S"),3,IF(AND('Mentah Perbaikan UTS'!N18&lt;&gt;'Mentah Perbaikan UTS'!N$6,'Mentah Perbaikan UTS'!AC18="B"),2,IF(AND('Mentah Perbaikan UTS'!N18&lt;&gt;'Mentah Perbaikan UTS'!N$6,'Mentah Perbaikan UTS'!AC18="S"),1,0))))</f>
        <v>1</v>
      </c>
      <c r="O17" s="56">
        <f>IF(AND('Mentah Perbaikan UTS'!O18='Mentah Perbaikan UTS'!O$6,'Mentah Perbaikan UTS'!AD18="B"),4,IF(AND('Mentah Perbaikan UTS'!O18='Mentah Perbaikan UTS'!O$6,'Mentah Perbaikan UTS'!AD18="S"),3,IF(AND('Mentah Perbaikan UTS'!O18&lt;&gt;'Mentah Perbaikan UTS'!O$6,'Mentah Perbaikan UTS'!AD18="B"),2,IF(AND('Mentah Perbaikan UTS'!O18&lt;&gt;'Mentah Perbaikan UTS'!O$6,'Mentah Perbaikan UTS'!AD18="S"),1,0))))</f>
        <v>3</v>
      </c>
      <c r="P17" s="56">
        <f>IF(AND('Mentah Perbaikan UTS'!P18='Mentah Perbaikan UTS'!P$6,'Mentah Perbaikan UTS'!AE18="B"),4,IF(AND('Mentah Perbaikan UTS'!P18='Mentah Perbaikan UTS'!P$6,'Mentah Perbaikan UTS'!AE18="S"),3,IF(AND('Mentah Perbaikan UTS'!P18&lt;&gt;'Mentah Perbaikan UTS'!P$6,'Mentah Perbaikan UTS'!AE18="B"),2,IF(AND('Mentah Perbaikan UTS'!P18&lt;&gt;'Mentah Perbaikan UTS'!P$6,'Mentah Perbaikan UTS'!AE18="S"),1,0))))</f>
        <v>3</v>
      </c>
      <c r="Q17" s="56">
        <f>IF(AND('Mentah Perbaikan UTS'!Q18='Mentah Perbaikan UTS'!Q$6,'Mentah Perbaikan UTS'!AF18="B"),4,IF(AND('Mentah Perbaikan UTS'!Q18='Mentah Perbaikan UTS'!Q$6,'Mentah Perbaikan UTS'!AF18="S"),3,IF(AND('Mentah Perbaikan UTS'!Q18&lt;&gt;'Mentah Perbaikan UTS'!Q$6,'Mentah Perbaikan UTS'!AF18="B"),2,IF(AND('Mentah Perbaikan UTS'!Q18&lt;&gt;'Mentah Perbaikan UTS'!Q$6,'Mentah Perbaikan UTS'!AF18="S"),1,0))))</f>
        <v>2</v>
      </c>
      <c r="R17" s="57">
        <f t="shared" si="0"/>
        <v>63.333333333333329</v>
      </c>
    </row>
    <row r="18" spans="1:18" ht="15.75" customHeight="1">
      <c r="A18" s="34">
        <v>20070795017</v>
      </c>
      <c r="B18" s="35" t="s">
        <v>24</v>
      </c>
      <c r="C18" s="56">
        <f>IF(AND('Mentah Perbaikan UTS'!C19='Mentah Perbaikan UTS'!C$6,'Mentah Perbaikan UTS'!R19="B"),4,IF(AND('Mentah Perbaikan UTS'!C19='Mentah Perbaikan UTS'!C$6,'Mentah Perbaikan UTS'!R19="S"),3,IF(AND('Mentah Perbaikan UTS'!C19&lt;&gt;'Mentah Perbaikan UTS'!C$6,'Mentah Perbaikan UTS'!R19="B"),2,IF(AND('Mentah Perbaikan UTS'!C19&lt;&gt;'Mentah Perbaikan UTS'!C$6,'Mentah Perbaikan UTS'!R19="S"),1,0))))</f>
        <v>4</v>
      </c>
      <c r="D18" s="56">
        <f>IF(AND('Mentah Perbaikan UTS'!D19='Mentah Perbaikan UTS'!D$6,'Mentah Perbaikan UTS'!S19="B"),4,IF(AND('Mentah Perbaikan UTS'!D19='Mentah Perbaikan UTS'!D$6,'Mentah Perbaikan UTS'!S19="S"),3,IF(AND('Mentah Perbaikan UTS'!D19&lt;&gt;'Mentah Perbaikan UTS'!D$6,'Mentah Perbaikan UTS'!S19="B"),2,IF(AND('Mentah Perbaikan UTS'!D19&lt;&gt;'Mentah Perbaikan UTS'!D$6,'Mentah Perbaikan UTS'!S19="S"),1,0))))</f>
        <v>2</v>
      </c>
      <c r="E18" s="56">
        <f>IF(AND('Mentah Perbaikan UTS'!E19='Mentah Perbaikan UTS'!E$6,'Mentah Perbaikan UTS'!T19="B"),4,IF(AND('Mentah Perbaikan UTS'!E19='Mentah Perbaikan UTS'!E$6,'Mentah Perbaikan UTS'!T19="S"),3,IF(AND('Mentah Perbaikan UTS'!E19&lt;&gt;'Mentah Perbaikan UTS'!E$6,'Mentah Perbaikan UTS'!T19="B"),2,IF(AND('Mentah Perbaikan UTS'!E19&lt;&gt;'Mentah Perbaikan UTS'!E$6,'Mentah Perbaikan UTS'!T19="S"),1,0))))</f>
        <v>4</v>
      </c>
      <c r="F18" s="56">
        <f>IF(AND('Mentah Perbaikan UTS'!F19='Mentah Perbaikan UTS'!F$6,'Mentah Perbaikan UTS'!U19="B"),4,IF(AND('Mentah Perbaikan UTS'!F19='Mentah Perbaikan UTS'!F$6,'Mentah Perbaikan UTS'!U19="S"),3,IF(AND('Mentah Perbaikan UTS'!F19&lt;&gt;'Mentah Perbaikan UTS'!F$6,'Mentah Perbaikan UTS'!U19="B"),2,IF(AND('Mentah Perbaikan UTS'!F19&lt;&gt;'Mentah Perbaikan UTS'!F$6,'Mentah Perbaikan UTS'!U19="S"),1,0))))</f>
        <v>4</v>
      </c>
      <c r="G18" s="56">
        <f>IF(AND('Mentah Perbaikan UTS'!G19='Mentah Perbaikan UTS'!G$6,'Mentah Perbaikan UTS'!V19="B"),4,IF(AND('Mentah Perbaikan UTS'!G19='Mentah Perbaikan UTS'!G$6,'Mentah Perbaikan UTS'!V19="S"),3,IF(AND('Mentah Perbaikan UTS'!G19&lt;&gt;'Mentah Perbaikan UTS'!G$6,'Mentah Perbaikan UTS'!V19="B"),2,IF(AND('Mentah Perbaikan UTS'!G19&lt;&gt;'Mentah Perbaikan UTS'!G$6,'Mentah Perbaikan UTS'!V19="S"),1,0))))</f>
        <v>4</v>
      </c>
      <c r="H18" s="56">
        <f>IF(AND('Mentah Perbaikan UTS'!H19='Mentah Perbaikan UTS'!H$6,'Mentah Perbaikan UTS'!W19="B"),4,IF(AND('Mentah Perbaikan UTS'!H19='Mentah Perbaikan UTS'!H$6,'Mentah Perbaikan UTS'!W19="S"),3,IF(AND('Mentah Perbaikan UTS'!H19&lt;&gt;'Mentah Perbaikan UTS'!H$6,'Mentah Perbaikan UTS'!W19="B"),2,IF(AND('Mentah Perbaikan UTS'!H19&lt;&gt;'Mentah Perbaikan UTS'!H$6,'Mentah Perbaikan UTS'!W19="S"),1,0))))</f>
        <v>1</v>
      </c>
      <c r="I18" s="56">
        <f>IF(AND('Mentah Perbaikan UTS'!I19='Mentah Perbaikan UTS'!I$6,'Mentah Perbaikan UTS'!X19="B"),4,IF(AND('Mentah Perbaikan UTS'!I19='Mentah Perbaikan UTS'!I$6,'Mentah Perbaikan UTS'!X19="S"),3,IF(AND('Mentah Perbaikan UTS'!I19&lt;&gt;'Mentah Perbaikan UTS'!I$6,'Mentah Perbaikan UTS'!X19="B"),2,IF(AND('Mentah Perbaikan UTS'!I19&lt;&gt;'Mentah Perbaikan UTS'!I$6,'Mentah Perbaikan UTS'!X19="S"),1,0))))</f>
        <v>4</v>
      </c>
      <c r="J18" s="56">
        <f>IF(AND('Mentah Perbaikan UTS'!J19='Mentah Perbaikan UTS'!J$6,'Mentah Perbaikan UTS'!Y19="B"),4,IF(AND('Mentah Perbaikan UTS'!J19='Mentah Perbaikan UTS'!J$6,'Mentah Perbaikan UTS'!Y19="S"),3,IF(AND('Mentah Perbaikan UTS'!J19&lt;&gt;'Mentah Perbaikan UTS'!J$6,'Mentah Perbaikan UTS'!Y19="B"),2,IF(AND('Mentah Perbaikan UTS'!J19&lt;&gt;'Mentah Perbaikan UTS'!J$6,'Mentah Perbaikan UTS'!Y19="S"),1,0))))</f>
        <v>4</v>
      </c>
      <c r="K18" s="56">
        <f>IF(AND('Mentah Perbaikan UTS'!K19='Mentah Perbaikan UTS'!K$6,'Mentah Perbaikan UTS'!Z19="B"),4,IF(AND('Mentah Perbaikan UTS'!K19='Mentah Perbaikan UTS'!K$6,'Mentah Perbaikan UTS'!Z19="S"),3,IF(AND('Mentah Perbaikan UTS'!K19&lt;&gt;'Mentah Perbaikan UTS'!K$6,'Mentah Perbaikan UTS'!Z19="B"),2,IF(AND('Mentah Perbaikan UTS'!K19&lt;&gt;'Mentah Perbaikan UTS'!K$6,'Mentah Perbaikan UTS'!Z19="S"),1,0))))</f>
        <v>3</v>
      </c>
      <c r="L18" s="56">
        <f>IF(AND('Mentah Perbaikan UTS'!L19='Mentah Perbaikan UTS'!L$6,'Mentah Perbaikan UTS'!AA19="B"),4,IF(AND('Mentah Perbaikan UTS'!L19='Mentah Perbaikan UTS'!L$6,'Mentah Perbaikan UTS'!AA19="S"),3,IF(AND('Mentah Perbaikan UTS'!L19&lt;&gt;'Mentah Perbaikan UTS'!L$6,'Mentah Perbaikan UTS'!AA19="B"),2,IF(AND('Mentah Perbaikan UTS'!L19&lt;&gt;'Mentah Perbaikan UTS'!L$6,'Mentah Perbaikan UTS'!AA19="S"),1,0))))</f>
        <v>1</v>
      </c>
      <c r="M18" s="56">
        <f>IF(AND('Mentah Perbaikan UTS'!M19='Mentah Perbaikan UTS'!M$6,'Mentah Perbaikan UTS'!AB19="B"),4,IF(AND('Mentah Perbaikan UTS'!M19='Mentah Perbaikan UTS'!M$6,'Mentah Perbaikan UTS'!AB19="S"),3,IF(AND('Mentah Perbaikan UTS'!M19&lt;&gt;'Mentah Perbaikan UTS'!M$6,'Mentah Perbaikan UTS'!AB19="B"),2,IF(AND('Mentah Perbaikan UTS'!M19&lt;&gt;'Mentah Perbaikan UTS'!M$6,'Mentah Perbaikan UTS'!AB19="S"),1,0))))</f>
        <v>3</v>
      </c>
      <c r="N18" s="56">
        <f>IF(AND('Mentah Perbaikan UTS'!N19='Mentah Perbaikan UTS'!N$6,'Mentah Perbaikan UTS'!AC19="B"),4,IF(AND('Mentah Perbaikan UTS'!N19='Mentah Perbaikan UTS'!N$6,'Mentah Perbaikan UTS'!AC19="S"),3,IF(AND('Mentah Perbaikan UTS'!N19&lt;&gt;'Mentah Perbaikan UTS'!N$6,'Mentah Perbaikan UTS'!AC19="B"),2,IF(AND('Mentah Perbaikan UTS'!N19&lt;&gt;'Mentah Perbaikan UTS'!N$6,'Mentah Perbaikan UTS'!AC19="S"),1,0))))</f>
        <v>1</v>
      </c>
      <c r="O18" s="56">
        <f>IF(AND('Mentah Perbaikan UTS'!O19='Mentah Perbaikan UTS'!O$6,'Mentah Perbaikan UTS'!AD19="B"),4,IF(AND('Mentah Perbaikan UTS'!O19='Mentah Perbaikan UTS'!O$6,'Mentah Perbaikan UTS'!AD19="S"),3,IF(AND('Mentah Perbaikan UTS'!O19&lt;&gt;'Mentah Perbaikan UTS'!O$6,'Mentah Perbaikan UTS'!AD19="B"),2,IF(AND('Mentah Perbaikan UTS'!O19&lt;&gt;'Mentah Perbaikan UTS'!O$6,'Mentah Perbaikan UTS'!AD19="S"),1,0))))</f>
        <v>1</v>
      </c>
      <c r="P18" s="56">
        <f>IF(AND('Mentah Perbaikan UTS'!P19='Mentah Perbaikan UTS'!P$6,'Mentah Perbaikan UTS'!AE19="B"),4,IF(AND('Mentah Perbaikan UTS'!P19='Mentah Perbaikan UTS'!P$6,'Mentah Perbaikan UTS'!AE19="S"),3,IF(AND('Mentah Perbaikan UTS'!P19&lt;&gt;'Mentah Perbaikan UTS'!P$6,'Mentah Perbaikan UTS'!AE19="B"),2,IF(AND('Mentah Perbaikan UTS'!P19&lt;&gt;'Mentah Perbaikan UTS'!P$6,'Mentah Perbaikan UTS'!AE19="S"),1,0))))</f>
        <v>2</v>
      </c>
      <c r="Q18" s="56">
        <f>IF(AND('Mentah Perbaikan UTS'!Q19='Mentah Perbaikan UTS'!Q$6,'Mentah Perbaikan UTS'!AF19="B"),4,IF(AND('Mentah Perbaikan UTS'!Q19='Mentah Perbaikan UTS'!Q$6,'Mentah Perbaikan UTS'!AF19="S"),3,IF(AND('Mentah Perbaikan UTS'!Q19&lt;&gt;'Mentah Perbaikan UTS'!Q$6,'Mentah Perbaikan UTS'!AF19="B"),2,IF(AND('Mentah Perbaikan UTS'!Q19&lt;&gt;'Mentah Perbaikan UTS'!Q$6,'Mentah Perbaikan UTS'!AF19="S"),1,0))))</f>
        <v>2</v>
      </c>
      <c r="R18" s="57">
        <f t="shared" si="0"/>
        <v>66.666666666666657</v>
      </c>
    </row>
    <row r="19" spans="1:18" ht="12.75">
      <c r="A19" s="108" t="s">
        <v>25</v>
      </c>
      <c r="B19" s="102"/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98"/>
      <c r="R19" s="57">
        <f>SUM(R6:R18)</f>
        <v>808.33333333333337</v>
      </c>
    </row>
    <row r="20" spans="1:18" ht="12.75">
      <c r="A20" s="101" t="s">
        <v>26</v>
      </c>
      <c r="B20" s="102"/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98"/>
      <c r="R20" s="57">
        <f>R19/13</f>
        <v>62.179487179487182</v>
      </c>
    </row>
  </sheetData>
  <mergeCells count="9">
    <mergeCell ref="A19:Q19"/>
    <mergeCell ref="A20:Q20"/>
    <mergeCell ref="A1:T1"/>
    <mergeCell ref="A2:T2"/>
    <mergeCell ref="A4:A5"/>
    <mergeCell ref="B4:B5"/>
    <mergeCell ref="C4:L4"/>
    <mergeCell ref="R4:R5"/>
    <mergeCell ref="S4:S5"/>
  </mergeCell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5:L28"/>
  <sheetViews>
    <sheetView workbookViewId="0"/>
  </sheetViews>
  <sheetFormatPr defaultColWidth="14.42578125" defaultRowHeight="15.75" customHeight="1"/>
  <cols>
    <col min="2" max="2" width="28.85546875" customWidth="1"/>
  </cols>
  <sheetData>
    <row r="5" spans="1:12">
      <c r="A5" s="106" t="s">
        <v>2</v>
      </c>
      <c r="B5" s="106" t="s">
        <v>3</v>
      </c>
      <c r="C5" s="108" t="s">
        <v>32</v>
      </c>
      <c r="D5" s="102"/>
      <c r="E5" s="102"/>
      <c r="F5" s="106" t="s">
        <v>5</v>
      </c>
      <c r="G5" s="43" t="s">
        <v>77</v>
      </c>
    </row>
    <row r="6" spans="1:12">
      <c r="A6" s="107"/>
      <c r="B6" s="107"/>
      <c r="C6" s="109">
        <v>1</v>
      </c>
      <c r="D6" s="109">
        <v>2</v>
      </c>
      <c r="E6" s="109">
        <v>3</v>
      </c>
      <c r="F6" s="107"/>
      <c r="G6" s="43">
        <v>1</v>
      </c>
      <c r="H6" s="43">
        <v>2</v>
      </c>
      <c r="I6" s="43">
        <v>3</v>
      </c>
    </row>
    <row r="7" spans="1:12">
      <c r="A7" s="128"/>
      <c r="B7" s="128"/>
      <c r="C7" s="128"/>
      <c r="D7" s="128"/>
      <c r="E7" s="128"/>
      <c r="F7" s="128"/>
    </row>
    <row r="8" spans="1:12">
      <c r="A8" s="58">
        <v>20070795027</v>
      </c>
      <c r="B8" s="59" t="s">
        <v>12</v>
      </c>
      <c r="C8" s="60">
        <v>4</v>
      </c>
      <c r="D8" s="61">
        <v>4</v>
      </c>
      <c r="E8" s="61">
        <v>3</v>
      </c>
      <c r="F8" s="62">
        <f t="shared" ref="F8:F20" si="0">SUM(C8:E8)/12*100</f>
        <v>91.666666666666657</v>
      </c>
      <c r="G8" s="43">
        <v>5</v>
      </c>
      <c r="H8" s="43">
        <v>5</v>
      </c>
      <c r="I8" s="43">
        <v>5</v>
      </c>
      <c r="J8" s="43" t="str">
        <f t="shared" ref="J8:L8" si="1">IF(AND(C8&gt;2.5,G8&gt;2.5),"PK",IF(AND(C8&gt;2.5,G8&lt;2.5),"JB",IF(AND(C8&lt;2.5,G8&lt;2.5),"TPK",IF(AND(C8&lt;2.5,G8&gt;2.5),"M","error"))))</f>
        <v>PK</v>
      </c>
      <c r="K8" s="43" t="str">
        <f t="shared" si="1"/>
        <v>PK</v>
      </c>
      <c r="L8" s="43" t="str">
        <f t="shared" si="1"/>
        <v>PK</v>
      </c>
    </row>
    <row r="9" spans="1:12">
      <c r="A9" s="3">
        <v>20070795014</v>
      </c>
      <c r="B9" s="9" t="s">
        <v>13</v>
      </c>
      <c r="C9" s="43">
        <v>3</v>
      </c>
      <c r="D9" s="5">
        <v>4</v>
      </c>
      <c r="E9" s="6">
        <v>3</v>
      </c>
      <c r="F9" s="62">
        <f t="shared" si="0"/>
        <v>83.333333333333343</v>
      </c>
      <c r="G9" s="43">
        <v>5</v>
      </c>
      <c r="H9" s="43">
        <v>5</v>
      </c>
      <c r="I9" s="43">
        <v>4</v>
      </c>
      <c r="J9" s="43" t="str">
        <f t="shared" ref="J9:L9" si="2">IF(AND(C9&gt;2.5,G9&gt;2.5),"PK",IF(AND(C9&gt;2.5,G9&lt;2.5),"JB",IF(AND(C9&lt;2.5,G9&lt;2.5),"TPK",IF(AND(C9&lt;2.5,G9&gt;2.5),"M","error"))))</f>
        <v>PK</v>
      </c>
      <c r="K9" s="43" t="str">
        <f t="shared" si="2"/>
        <v>PK</v>
      </c>
      <c r="L9" s="43" t="str">
        <f t="shared" si="2"/>
        <v>PK</v>
      </c>
    </row>
    <row r="10" spans="1:12">
      <c r="A10" s="3">
        <v>20070795016</v>
      </c>
      <c r="B10" s="10" t="s">
        <v>14</v>
      </c>
      <c r="C10" s="5">
        <v>3</v>
      </c>
      <c r="D10" s="6">
        <v>4</v>
      </c>
      <c r="E10" s="6">
        <v>3</v>
      </c>
      <c r="F10" s="62">
        <f t="shared" si="0"/>
        <v>83.333333333333343</v>
      </c>
      <c r="G10" s="43">
        <v>5</v>
      </c>
      <c r="H10" s="43">
        <v>5</v>
      </c>
      <c r="I10" s="43">
        <v>5</v>
      </c>
      <c r="J10" s="43" t="str">
        <f t="shared" ref="J10:L10" si="3">IF(AND(C10&gt;2.5,G10&gt;2.5),"PK",IF(AND(C10&gt;2.5,G10&lt;2.5),"JB",IF(AND(C10&lt;2.5,G10&lt;2.5),"TPK",IF(AND(C10&lt;2.5,G10&gt;2.5),"M","error"))))</f>
        <v>PK</v>
      </c>
      <c r="K10" s="43" t="str">
        <f t="shared" si="3"/>
        <v>PK</v>
      </c>
      <c r="L10" s="43" t="str">
        <f t="shared" si="3"/>
        <v>PK</v>
      </c>
    </row>
    <row r="11" spans="1:12">
      <c r="A11" s="3">
        <v>20070795023</v>
      </c>
      <c r="B11" s="9" t="s">
        <v>15</v>
      </c>
      <c r="C11" s="5">
        <v>4</v>
      </c>
      <c r="D11" s="33">
        <v>4</v>
      </c>
      <c r="E11" s="6">
        <v>3</v>
      </c>
      <c r="F11" s="62">
        <f t="shared" si="0"/>
        <v>91.666666666666657</v>
      </c>
      <c r="G11" s="43">
        <v>5</v>
      </c>
      <c r="H11" s="43">
        <v>5</v>
      </c>
      <c r="I11" s="43">
        <v>5</v>
      </c>
      <c r="J11" s="43" t="str">
        <f t="shared" ref="J11:L11" si="4">IF(AND(C11&gt;2.5,G11&gt;2.5),"PK",IF(AND(C11&gt;2.5,G11&lt;2.5),"JB",IF(AND(C11&lt;2.5,G11&lt;2.5),"TPK",IF(AND(C11&lt;2.5,G11&gt;2.5),"M","error"))))</f>
        <v>PK</v>
      </c>
      <c r="K11" s="43" t="str">
        <f t="shared" si="4"/>
        <v>PK</v>
      </c>
      <c r="L11" s="43" t="str">
        <f t="shared" si="4"/>
        <v>PK</v>
      </c>
    </row>
    <row r="12" spans="1:12">
      <c r="A12" s="3">
        <v>20070795012</v>
      </c>
      <c r="B12" s="9" t="s">
        <v>16</v>
      </c>
      <c r="C12" s="5">
        <v>2</v>
      </c>
      <c r="D12" s="33">
        <v>4</v>
      </c>
      <c r="E12" s="6">
        <v>3</v>
      </c>
      <c r="F12" s="62">
        <f t="shared" si="0"/>
        <v>75</v>
      </c>
      <c r="G12" s="43">
        <v>4</v>
      </c>
      <c r="H12" s="43">
        <v>5</v>
      </c>
      <c r="I12" s="43">
        <v>5</v>
      </c>
      <c r="J12" s="43" t="str">
        <f t="shared" ref="J12:L12" si="5">IF(AND(C12&gt;2.5,G12&gt;2.5),"PK",IF(AND(C12&gt;2.5,G12&lt;2.5),"JB",IF(AND(C12&lt;2.5,G12&lt;2.5),"TPK",IF(AND(C12&lt;2.5,G12&gt;2.5),"M","error"))))</f>
        <v>M</v>
      </c>
      <c r="K12" s="43" t="str">
        <f t="shared" si="5"/>
        <v>PK</v>
      </c>
      <c r="L12" s="43" t="str">
        <f t="shared" si="5"/>
        <v>PK</v>
      </c>
    </row>
    <row r="13" spans="1:12">
      <c r="A13" s="11">
        <v>20070795009</v>
      </c>
      <c r="B13" s="12" t="s">
        <v>17</v>
      </c>
      <c r="C13" s="5">
        <v>1</v>
      </c>
      <c r="D13" s="33">
        <v>1</v>
      </c>
      <c r="E13" s="6">
        <v>1</v>
      </c>
      <c r="F13" s="62">
        <f t="shared" si="0"/>
        <v>25</v>
      </c>
      <c r="G13" s="43">
        <v>4</v>
      </c>
      <c r="H13" s="43">
        <v>2</v>
      </c>
      <c r="I13" s="43">
        <v>3</v>
      </c>
      <c r="J13" s="43" t="str">
        <f t="shared" ref="J13:L13" si="6">IF(AND(C13&gt;2.5,G13&gt;2.5),"PK",IF(AND(C13&gt;2.5,G13&lt;2.5),"JB",IF(AND(C13&lt;2.5,G13&lt;2.5),"TPK",IF(AND(C13&lt;2.5,G13&gt;2.5),"M","error"))))</f>
        <v>M</v>
      </c>
      <c r="K13" s="43" t="str">
        <f t="shared" si="6"/>
        <v>TPK</v>
      </c>
      <c r="L13" s="43" t="str">
        <f t="shared" si="6"/>
        <v>M</v>
      </c>
    </row>
    <row r="14" spans="1:12">
      <c r="A14" s="3">
        <v>20070795025</v>
      </c>
      <c r="B14" s="12" t="s">
        <v>18</v>
      </c>
      <c r="C14" s="5">
        <v>3</v>
      </c>
      <c r="D14" s="33">
        <v>1</v>
      </c>
      <c r="E14" s="6">
        <v>3</v>
      </c>
      <c r="F14" s="62">
        <f t="shared" si="0"/>
        <v>58.333333333333336</v>
      </c>
      <c r="G14" s="43">
        <v>5</v>
      </c>
      <c r="H14" s="43">
        <v>5</v>
      </c>
      <c r="I14" s="43">
        <v>5</v>
      </c>
      <c r="J14" s="43" t="str">
        <f t="shared" ref="J14:L14" si="7">IF(AND(C14&gt;2.5,G14&gt;2.5),"PK",IF(AND(C14&gt;2.5,G14&lt;2.5),"JB",IF(AND(C14&lt;2.5,G14&lt;2.5),"TPK",IF(AND(C14&lt;2.5,G14&gt;2.5),"M","error"))))</f>
        <v>PK</v>
      </c>
      <c r="K14" s="43" t="str">
        <f t="shared" si="7"/>
        <v>M</v>
      </c>
      <c r="L14" s="43" t="str">
        <f t="shared" si="7"/>
        <v>PK</v>
      </c>
    </row>
    <row r="15" spans="1:12">
      <c r="A15" s="3">
        <v>20070795011</v>
      </c>
      <c r="B15" s="9" t="s">
        <v>19</v>
      </c>
      <c r="C15" s="5">
        <v>2</v>
      </c>
      <c r="D15" s="33">
        <v>2</v>
      </c>
      <c r="E15" s="6">
        <v>3</v>
      </c>
      <c r="F15" s="62">
        <f t="shared" si="0"/>
        <v>58.333333333333336</v>
      </c>
      <c r="G15" s="43">
        <v>4</v>
      </c>
      <c r="H15" s="43">
        <v>4</v>
      </c>
      <c r="I15" s="43">
        <v>4</v>
      </c>
      <c r="J15" s="43" t="str">
        <f t="shared" ref="J15:L15" si="8">IF(AND(C15&gt;2.5,G15&gt;2.5),"PK",IF(AND(C15&gt;2.5,G15&lt;2.5),"JB",IF(AND(C15&lt;2.5,G15&lt;2.5),"TPK",IF(AND(C15&lt;2.5,G15&gt;2.5),"M","error"))))</f>
        <v>M</v>
      </c>
      <c r="K15" s="43" t="str">
        <f t="shared" si="8"/>
        <v>M</v>
      </c>
      <c r="L15" s="43" t="str">
        <f t="shared" si="8"/>
        <v>PK</v>
      </c>
    </row>
    <row r="16" spans="1:12">
      <c r="A16" s="3">
        <v>20070795007</v>
      </c>
      <c r="B16" s="11" t="s">
        <v>20</v>
      </c>
      <c r="C16" s="5">
        <v>3</v>
      </c>
      <c r="D16" s="33">
        <v>4</v>
      </c>
      <c r="E16" s="6">
        <v>4</v>
      </c>
      <c r="F16" s="62">
        <f t="shared" si="0"/>
        <v>91.666666666666657</v>
      </c>
      <c r="G16" s="43">
        <v>5</v>
      </c>
      <c r="H16" s="43">
        <v>0</v>
      </c>
      <c r="I16" s="43">
        <v>0</v>
      </c>
      <c r="J16" s="43" t="str">
        <f t="shared" ref="J16:L16" si="9">IF(AND(C16&gt;2.5,G16&gt;2.5),"PK",IF(AND(C16&gt;2.5,G16&lt;2.5),"JB",IF(AND(C16&lt;2.5,G16&lt;2.5),"TPK",IF(AND(C16&lt;2.5,G16&gt;2.5),"M","error"))))</f>
        <v>PK</v>
      </c>
      <c r="K16" s="43" t="str">
        <f t="shared" si="9"/>
        <v>JB</v>
      </c>
      <c r="L16" s="43" t="str">
        <f t="shared" si="9"/>
        <v>JB</v>
      </c>
    </row>
    <row r="17" spans="1:12">
      <c r="A17" s="3">
        <v>20070795026</v>
      </c>
      <c r="B17" s="9" t="s">
        <v>21</v>
      </c>
      <c r="C17" s="6">
        <v>3</v>
      </c>
      <c r="D17" s="6">
        <v>4</v>
      </c>
      <c r="E17" s="6">
        <v>3</v>
      </c>
      <c r="F17" s="62">
        <f t="shared" si="0"/>
        <v>83.333333333333343</v>
      </c>
      <c r="G17" s="43">
        <v>4</v>
      </c>
      <c r="H17" s="43">
        <v>4</v>
      </c>
      <c r="I17" s="43">
        <v>4</v>
      </c>
      <c r="J17" s="43" t="str">
        <f t="shared" ref="J17:L17" si="10">IF(AND(C17&gt;2.5,G17&gt;2.5),"PK",IF(AND(C17&gt;2.5,G17&lt;2.5),"JB",IF(AND(C17&lt;2.5,G17&lt;2.5),"TPK",IF(AND(C17&lt;2.5,G17&gt;2.5),"M","error"))))</f>
        <v>PK</v>
      </c>
      <c r="K17" s="43" t="str">
        <f t="shared" si="10"/>
        <v>PK</v>
      </c>
      <c r="L17" s="43" t="str">
        <f t="shared" si="10"/>
        <v>PK</v>
      </c>
    </row>
    <row r="18" spans="1:12">
      <c r="A18" s="3">
        <v>20070795010</v>
      </c>
      <c r="B18" s="9" t="s">
        <v>22</v>
      </c>
      <c r="C18" s="6">
        <v>3</v>
      </c>
      <c r="D18" s="6">
        <v>4</v>
      </c>
      <c r="E18" s="6">
        <v>3</v>
      </c>
      <c r="F18" s="62">
        <f t="shared" si="0"/>
        <v>83.333333333333343</v>
      </c>
      <c r="G18" s="43">
        <v>4</v>
      </c>
      <c r="H18" s="43">
        <v>4</v>
      </c>
      <c r="I18" s="43">
        <v>4</v>
      </c>
      <c r="J18" s="43" t="str">
        <f t="shared" ref="J18:L18" si="11">IF(AND(C18&gt;2.5,G18&gt;2.5),"PK",IF(AND(C18&gt;2.5,G18&lt;2.5),"JB",IF(AND(C18&lt;2.5,G18&lt;2.5),"TPK",IF(AND(C18&lt;2.5,G18&gt;2.5),"M","error"))))</f>
        <v>PK</v>
      </c>
      <c r="K18" s="43" t="str">
        <f t="shared" si="11"/>
        <v>PK</v>
      </c>
      <c r="L18" s="43" t="str">
        <f t="shared" si="11"/>
        <v>PK</v>
      </c>
    </row>
    <row r="19" spans="1:12">
      <c r="A19" s="3">
        <v>20070795013</v>
      </c>
      <c r="B19" s="9" t="s">
        <v>23</v>
      </c>
      <c r="C19" s="6">
        <v>4</v>
      </c>
      <c r="D19" s="6">
        <v>1</v>
      </c>
      <c r="E19" s="6">
        <v>1</v>
      </c>
      <c r="F19" s="62">
        <f t="shared" si="0"/>
        <v>50</v>
      </c>
      <c r="G19" s="43">
        <v>5</v>
      </c>
      <c r="H19" s="43">
        <v>5</v>
      </c>
      <c r="I19" s="43">
        <v>5</v>
      </c>
      <c r="J19" s="43" t="str">
        <f t="shared" ref="J19:L19" si="12">IF(AND(C19&gt;2.5,G19&gt;2.5),"PK",IF(AND(C19&gt;2.5,G19&lt;2.5),"JB",IF(AND(C19&lt;2.5,G19&lt;2.5),"TPK",IF(AND(C19&lt;2.5,G19&gt;2.5),"M","error"))))</f>
        <v>PK</v>
      </c>
      <c r="K19" s="43" t="str">
        <f t="shared" si="12"/>
        <v>M</v>
      </c>
      <c r="L19" s="43" t="str">
        <f t="shared" si="12"/>
        <v>M</v>
      </c>
    </row>
    <row r="20" spans="1:12">
      <c r="A20" s="63">
        <v>20070795017</v>
      </c>
      <c r="B20" s="64" t="s">
        <v>24</v>
      </c>
      <c r="C20" s="65"/>
      <c r="D20" s="65"/>
      <c r="E20" s="65"/>
      <c r="F20" s="62">
        <f t="shared" si="0"/>
        <v>0</v>
      </c>
    </row>
    <row r="21" spans="1:12">
      <c r="A21" s="129" t="s">
        <v>25</v>
      </c>
      <c r="B21" s="130"/>
      <c r="C21" s="130"/>
      <c r="D21" s="130"/>
      <c r="E21" s="94"/>
      <c r="F21" s="62">
        <f>SUM(F8:F20)</f>
        <v>875</v>
      </c>
      <c r="J21" s="48">
        <f t="shared" ref="J21:L21" si="13">COUNTIF(J$8:J$19,"PK")/12*100</f>
        <v>75</v>
      </c>
      <c r="K21" s="48">
        <f t="shared" si="13"/>
        <v>58.333333333333336</v>
      </c>
      <c r="L21" s="48">
        <f t="shared" si="13"/>
        <v>75</v>
      </c>
    </row>
    <row r="22" spans="1:12">
      <c r="A22" s="108" t="s">
        <v>26</v>
      </c>
      <c r="B22" s="102"/>
      <c r="C22" s="102"/>
      <c r="D22" s="102"/>
      <c r="E22" s="98"/>
      <c r="F22" s="7">
        <f>F21/13</f>
        <v>67.307692307692307</v>
      </c>
      <c r="J22" s="48">
        <f t="shared" ref="J22:L22" si="14">COUNTIF(J$8:J$19,"JB")/12*100</f>
        <v>0</v>
      </c>
      <c r="K22" s="48">
        <f t="shared" si="14"/>
        <v>8.3333333333333321</v>
      </c>
      <c r="L22" s="48">
        <f t="shared" si="14"/>
        <v>8.3333333333333321</v>
      </c>
    </row>
    <row r="23" spans="1:12">
      <c r="J23" s="48">
        <f t="shared" ref="J23:L23" si="15">COUNTIF(J$8:J$19,"TPK")/12*100</f>
        <v>0</v>
      </c>
      <c r="K23" s="48">
        <f t="shared" si="15"/>
        <v>8.3333333333333321</v>
      </c>
      <c r="L23" s="48">
        <f t="shared" si="15"/>
        <v>0</v>
      </c>
    </row>
    <row r="24" spans="1:12">
      <c r="J24" s="48">
        <f t="shared" ref="J24:L24" si="16">COUNTIF(J$8:J$19,"M")/12*100</f>
        <v>25</v>
      </c>
      <c r="K24" s="48">
        <f t="shared" si="16"/>
        <v>25</v>
      </c>
      <c r="L24" s="48">
        <f t="shared" si="16"/>
        <v>16.666666666666664</v>
      </c>
    </row>
    <row r="25" spans="1:12">
      <c r="J25" s="48">
        <f>COUNTIF(J$8:L$19,"PK")/(12*3)*100</f>
        <v>69.444444444444443</v>
      </c>
    </row>
    <row r="26" spans="1:12">
      <c r="J26" s="48">
        <f>COUNTIF(J$8:L$19,"JB")/(12*3)*100</f>
        <v>5.5555555555555554</v>
      </c>
    </row>
    <row r="27" spans="1:12">
      <c r="J27" s="48">
        <f>COUNTIF(J$8:L$19,"TPK")/(12*3)*100</f>
        <v>2.7777777777777777</v>
      </c>
    </row>
    <row r="28" spans="1:12">
      <c r="J28" s="48">
        <f>COUNTIF(J$8:L$19,"M")/(12*3)*100</f>
        <v>22.222222222222221</v>
      </c>
    </row>
  </sheetData>
  <mergeCells count="9">
    <mergeCell ref="A22:E22"/>
    <mergeCell ref="A5:A7"/>
    <mergeCell ref="B5:B7"/>
    <mergeCell ref="C5:E5"/>
    <mergeCell ref="F5:F7"/>
    <mergeCell ref="C6:C7"/>
    <mergeCell ref="D6:D7"/>
    <mergeCell ref="E6:E7"/>
    <mergeCell ref="A21:E21"/>
  </mergeCells>
  <conditionalFormatting sqref="F22">
    <cfRule type="notContainsBlanks" dxfId="0" priority="1">
      <formula>LEN(TRIM(F22))&gt;0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G21"/>
  <sheetViews>
    <sheetView workbookViewId="0">
      <selection sqref="A1:T1"/>
    </sheetView>
  </sheetViews>
  <sheetFormatPr defaultColWidth="14.42578125" defaultRowHeight="15.75" customHeight="1"/>
  <cols>
    <col min="1" max="2" width="28.42578125" customWidth="1"/>
    <col min="3" max="33" width="7.28515625" customWidth="1"/>
  </cols>
  <sheetData>
    <row r="1" spans="1:33">
      <c r="A1" s="105" t="s">
        <v>76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</row>
    <row r="2" spans="1:33">
      <c r="A2" s="127" t="s">
        <v>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</row>
    <row r="4" spans="1:33">
      <c r="A4" s="131" t="s">
        <v>2</v>
      </c>
      <c r="B4" s="131" t="s">
        <v>3</v>
      </c>
      <c r="C4" s="105" t="s">
        <v>32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110" t="s">
        <v>78</v>
      </c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</row>
    <row r="5" spans="1:33">
      <c r="A5" s="96"/>
      <c r="B5" s="96"/>
      <c r="C5" s="53">
        <v>1</v>
      </c>
      <c r="D5" s="53">
        <v>2</v>
      </c>
      <c r="E5" s="53">
        <v>3</v>
      </c>
      <c r="F5" s="53">
        <v>4</v>
      </c>
      <c r="G5" s="53">
        <v>5</v>
      </c>
      <c r="H5" s="53">
        <v>6</v>
      </c>
      <c r="I5" s="53">
        <v>7</v>
      </c>
      <c r="J5" s="53">
        <v>8</v>
      </c>
      <c r="K5" s="53">
        <v>9</v>
      </c>
      <c r="L5" s="53">
        <v>10</v>
      </c>
      <c r="M5" s="53">
        <v>11</v>
      </c>
      <c r="N5" s="53">
        <v>12</v>
      </c>
      <c r="O5" s="53">
        <v>13</v>
      </c>
      <c r="P5" s="53">
        <v>14</v>
      </c>
      <c r="Q5" s="53">
        <v>15</v>
      </c>
      <c r="R5" s="53">
        <v>1</v>
      </c>
      <c r="S5" s="53">
        <v>2</v>
      </c>
      <c r="T5" s="53">
        <v>3</v>
      </c>
      <c r="U5" s="53">
        <v>4</v>
      </c>
      <c r="V5" s="53">
        <v>5</v>
      </c>
      <c r="W5" s="53">
        <v>6</v>
      </c>
      <c r="X5" s="53">
        <v>7</v>
      </c>
      <c r="Y5" s="53">
        <v>8</v>
      </c>
      <c r="Z5" s="53">
        <v>9</v>
      </c>
      <c r="AA5" s="53">
        <v>10</v>
      </c>
      <c r="AB5" s="53">
        <v>11</v>
      </c>
      <c r="AC5" s="53">
        <v>12</v>
      </c>
      <c r="AD5" s="53">
        <v>13</v>
      </c>
      <c r="AE5" s="53">
        <v>14</v>
      </c>
      <c r="AF5" s="53">
        <v>15</v>
      </c>
      <c r="AG5" s="53"/>
    </row>
    <row r="6" spans="1:33">
      <c r="A6" s="96"/>
      <c r="B6" s="66" t="s">
        <v>79</v>
      </c>
      <c r="C6" s="67" t="s">
        <v>80</v>
      </c>
      <c r="D6" s="67" t="s">
        <v>80</v>
      </c>
      <c r="E6" s="67" t="s">
        <v>81</v>
      </c>
      <c r="F6" s="67" t="s">
        <v>80</v>
      </c>
      <c r="G6" s="67" t="s">
        <v>80</v>
      </c>
      <c r="H6" s="67" t="s">
        <v>81</v>
      </c>
      <c r="I6" s="67" t="s">
        <v>81</v>
      </c>
      <c r="J6" s="67" t="s">
        <v>80</v>
      </c>
      <c r="K6" s="67" t="s">
        <v>80</v>
      </c>
      <c r="L6" s="67" t="s">
        <v>81</v>
      </c>
      <c r="M6" s="67" t="s">
        <v>81</v>
      </c>
      <c r="N6" s="67" t="s">
        <v>81</v>
      </c>
      <c r="O6" s="67" t="s">
        <v>80</v>
      </c>
      <c r="P6" s="67" t="s">
        <v>80</v>
      </c>
      <c r="Q6" s="67" t="s">
        <v>81</v>
      </c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</row>
    <row r="7" spans="1:33">
      <c r="A7" s="3">
        <v>20070795027</v>
      </c>
      <c r="B7" s="4" t="s">
        <v>12</v>
      </c>
      <c r="C7" s="69" t="s">
        <v>80</v>
      </c>
      <c r="D7" s="53" t="s">
        <v>80</v>
      </c>
      <c r="E7" s="53" t="s">
        <v>80</v>
      </c>
      <c r="F7" s="53" t="s">
        <v>80</v>
      </c>
      <c r="G7" s="53" t="s">
        <v>80</v>
      </c>
      <c r="H7" s="53" t="s">
        <v>80</v>
      </c>
      <c r="I7" s="53" t="s">
        <v>81</v>
      </c>
      <c r="J7" s="53" t="s">
        <v>80</v>
      </c>
      <c r="K7" s="53" t="s">
        <v>80</v>
      </c>
      <c r="L7" s="53" t="s">
        <v>80</v>
      </c>
      <c r="M7" s="53" t="s">
        <v>80</v>
      </c>
      <c r="N7" s="53" t="s">
        <v>81</v>
      </c>
      <c r="O7" s="53" t="s">
        <v>80</v>
      </c>
      <c r="P7" s="53" t="s">
        <v>81</v>
      </c>
      <c r="Q7" s="53"/>
      <c r="R7" s="43" t="s">
        <v>80</v>
      </c>
      <c r="S7" s="43" t="s">
        <v>80</v>
      </c>
      <c r="T7" s="43" t="s">
        <v>80</v>
      </c>
      <c r="U7" s="43" t="s">
        <v>80</v>
      </c>
      <c r="V7" s="43" t="s">
        <v>80</v>
      </c>
      <c r="W7" s="43" t="s">
        <v>81</v>
      </c>
      <c r="X7" s="43" t="s">
        <v>80</v>
      </c>
      <c r="Y7" s="43" t="s">
        <v>81</v>
      </c>
      <c r="Z7" s="43" t="s">
        <v>81</v>
      </c>
      <c r="AA7" s="43" t="s">
        <v>81</v>
      </c>
      <c r="AB7" s="43" t="s">
        <v>81</v>
      </c>
      <c r="AC7" s="43" t="s">
        <v>81</v>
      </c>
      <c r="AD7" s="43" t="s">
        <v>80</v>
      </c>
      <c r="AE7" s="43" t="s">
        <v>81</v>
      </c>
      <c r="AF7" s="43" t="s">
        <v>81</v>
      </c>
    </row>
    <row r="8" spans="1:33">
      <c r="A8" s="3">
        <v>20070795014</v>
      </c>
      <c r="B8" s="9" t="s">
        <v>13</v>
      </c>
      <c r="C8" s="69" t="s">
        <v>80</v>
      </c>
      <c r="D8" s="53" t="s">
        <v>80</v>
      </c>
      <c r="E8" s="53" t="s">
        <v>80</v>
      </c>
      <c r="F8" s="53" t="s">
        <v>81</v>
      </c>
      <c r="G8" s="53" t="s">
        <v>80</v>
      </c>
      <c r="H8" s="53" t="s">
        <v>80</v>
      </c>
      <c r="I8" s="53" t="s">
        <v>81</v>
      </c>
      <c r="J8" s="53" t="s">
        <v>80</v>
      </c>
      <c r="K8" s="53" t="s">
        <v>80</v>
      </c>
      <c r="L8" s="53" t="s">
        <v>80</v>
      </c>
      <c r="M8" s="53" t="s">
        <v>80</v>
      </c>
      <c r="N8" s="53" t="s">
        <v>80</v>
      </c>
      <c r="O8" s="53" t="s">
        <v>80</v>
      </c>
      <c r="P8" s="53" t="s">
        <v>81</v>
      </c>
      <c r="Q8" s="53" t="s">
        <v>80</v>
      </c>
      <c r="R8" s="43" t="s">
        <v>80</v>
      </c>
      <c r="S8" s="43" t="s">
        <v>80</v>
      </c>
      <c r="T8" s="43" t="s">
        <v>81</v>
      </c>
      <c r="U8" s="43" t="s">
        <v>81</v>
      </c>
      <c r="V8" s="43" t="s">
        <v>80</v>
      </c>
      <c r="W8" s="43" t="s">
        <v>80</v>
      </c>
      <c r="X8" s="43" t="s">
        <v>80</v>
      </c>
      <c r="Y8" s="43" t="s">
        <v>80</v>
      </c>
      <c r="Z8" s="43" t="s">
        <v>81</v>
      </c>
      <c r="AA8" s="43" t="s">
        <v>80</v>
      </c>
      <c r="AB8" s="43" t="s">
        <v>81</v>
      </c>
      <c r="AC8" s="43" t="s">
        <v>81</v>
      </c>
      <c r="AD8" s="43" t="s">
        <v>81</v>
      </c>
      <c r="AE8" s="43" t="s">
        <v>81</v>
      </c>
      <c r="AF8" s="43" t="s">
        <v>80</v>
      </c>
    </row>
    <row r="9" spans="1:33">
      <c r="A9" s="3">
        <v>20070795016</v>
      </c>
      <c r="B9" s="10" t="s">
        <v>14</v>
      </c>
      <c r="C9" s="69" t="s">
        <v>80</v>
      </c>
      <c r="D9" s="53" t="s">
        <v>80</v>
      </c>
      <c r="E9" s="53" t="s">
        <v>80</v>
      </c>
      <c r="F9" s="53" t="s">
        <v>80</v>
      </c>
      <c r="G9" s="53" t="s">
        <v>80</v>
      </c>
      <c r="H9" s="53" t="s">
        <v>80</v>
      </c>
      <c r="I9" s="53" t="s">
        <v>81</v>
      </c>
      <c r="J9" s="53" t="s">
        <v>80</v>
      </c>
      <c r="K9" s="53" t="s">
        <v>80</v>
      </c>
      <c r="L9" s="53" t="s">
        <v>80</v>
      </c>
      <c r="M9" s="53" t="s">
        <v>81</v>
      </c>
      <c r="N9" s="53" t="s">
        <v>80</v>
      </c>
      <c r="O9" s="53" t="s">
        <v>80</v>
      </c>
      <c r="P9" s="53" t="s">
        <v>80</v>
      </c>
      <c r="Q9" s="53" t="s">
        <v>80</v>
      </c>
      <c r="R9" s="43" t="s">
        <v>81</v>
      </c>
      <c r="S9" s="43" t="s">
        <v>81</v>
      </c>
      <c r="T9" s="43" t="s">
        <v>81</v>
      </c>
      <c r="U9" s="43" t="s">
        <v>80</v>
      </c>
      <c r="V9" s="43" t="s">
        <v>80</v>
      </c>
      <c r="W9" s="43" t="s">
        <v>80</v>
      </c>
      <c r="X9" s="43" t="s">
        <v>80</v>
      </c>
      <c r="Y9" s="43" t="s">
        <v>80</v>
      </c>
      <c r="Z9" s="43" t="s">
        <v>81</v>
      </c>
      <c r="AA9" s="43" t="s">
        <v>81</v>
      </c>
      <c r="AB9" s="43" t="s">
        <v>81</v>
      </c>
      <c r="AC9" s="43" t="s">
        <v>81</v>
      </c>
      <c r="AD9" s="43" t="s">
        <v>81</v>
      </c>
      <c r="AE9" s="43" t="s">
        <v>80</v>
      </c>
      <c r="AF9" s="43" t="s">
        <v>80</v>
      </c>
    </row>
    <row r="10" spans="1:33">
      <c r="A10" s="3">
        <v>20070795023</v>
      </c>
      <c r="B10" s="25" t="s">
        <v>15</v>
      </c>
      <c r="C10" s="70" t="s">
        <v>81</v>
      </c>
      <c r="D10" s="53" t="s">
        <v>80</v>
      </c>
      <c r="E10" s="53" t="s">
        <v>81</v>
      </c>
      <c r="F10" s="53" t="s">
        <v>80</v>
      </c>
      <c r="G10" s="53" t="s">
        <v>81</v>
      </c>
      <c r="H10" s="53" t="s">
        <v>80</v>
      </c>
      <c r="I10" s="53" t="s">
        <v>81</v>
      </c>
      <c r="J10" s="53" t="s">
        <v>80</v>
      </c>
      <c r="K10" s="53" t="s">
        <v>80</v>
      </c>
      <c r="L10" s="53" t="s">
        <v>80</v>
      </c>
      <c r="M10" s="53" t="s">
        <v>81</v>
      </c>
      <c r="N10" s="53" t="s">
        <v>80</v>
      </c>
      <c r="O10" s="53" t="s">
        <v>80</v>
      </c>
      <c r="P10" s="53" t="s">
        <v>80</v>
      </c>
      <c r="Q10" s="53" t="s">
        <v>81</v>
      </c>
      <c r="R10" s="53" t="s">
        <v>81</v>
      </c>
      <c r="S10" s="43" t="s">
        <v>81</v>
      </c>
      <c r="T10" s="43" t="s">
        <v>81</v>
      </c>
      <c r="U10" s="43" t="s">
        <v>81</v>
      </c>
      <c r="V10" s="43" t="s">
        <v>81</v>
      </c>
      <c r="W10" s="43" t="s">
        <v>81</v>
      </c>
      <c r="X10" s="43" t="s">
        <v>81</v>
      </c>
      <c r="Y10" s="43" t="s">
        <v>80</v>
      </c>
      <c r="Z10" s="43" t="s">
        <v>81</v>
      </c>
      <c r="AA10" s="43" t="s">
        <v>80</v>
      </c>
      <c r="AB10" s="43" t="s">
        <v>81</v>
      </c>
      <c r="AC10" s="43" t="s">
        <v>81</v>
      </c>
      <c r="AD10" s="43" t="s">
        <v>81</v>
      </c>
      <c r="AE10" s="43" t="s">
        <v>81</v>
      </c>
      <c r="AF10" s="43" t="s">
        <v>81</v>
      </c>
    </row>
    <row r="11" spans="1:33">
      <c r="A11" s="3">
        <v>20070795012</v>
      </c>
      <c r="B11" s="9" t="s">
        <v>16</v>
      </c>
      <c r="C11" s="69" t="s">
        <v>80</v>
      </c>
      <c r="D11" s="69" t="s">
        <v>80</v>
      </c>
      <c r="E11" s="1" t="s">
        <v>81</v>
      </c>
      <c r="F11" s="53" t="s">
        <v>80</v>
      </c>
      <c r="G11" s="53" t="s">
        <v>80</v>
      </c>
      <c r="H11" s="53" t="s">
        <v>80</v>
      </c>
      <c r="I11" s="53" t="s">
        <v>81</v>
      </c>
      <c r="J11" s="53" t="s">
        <v>80</v>
      </c>
      <c r="K11" s="53" t="s">
        <v>80</v>
      </c>
      <c r="L11" s="53" t="s">
        <v>80</v>
      </c>
      <c r="M11" s="53" t="s">
        <v>80</v>
      </c>
      <c r="N11" s="53" t="s">
        <v>81</v>
      </c>
      <c r="O11" s="53" t="s">
        <v>80</v>
      </c>
      <c r="P11" s="53" t="s">
        <v>80</v>
      </c>
      <c r="Q11" s="53" t="s">
        <v>80</v>
      </c>
      <c r="R11" s="43" t="s">
        <v>80</v>
      </c>
      <c r="S11" s="43" t="s">
        <v>80</v>
      </c>
      <c r="T11" s="43" t="s">
        <v>80</v>
      </c>
      <c r="U11" s="43" t="s">
        <v>80</v>
      </c>
      <c r="V11" s="43" t="s">
        <v>80</v>
      </c>
      <c r="W11" s="43" t="s">
        <v>81</v>
      </c>
      <c r="X11" s="43" t="s">
        <v>81</v>
      </c>
      <c r="Y11" s="43" t="s">
        <v>80</v>
      </c>
      <c r="Z11" s="43" t="s">
        <v>81</v>
      </c>
      <c r="AA11" s="43" t="s">
        <v>80</v>
      </c>
      <c r="AB11" s="43" t="s">
        <v>80</v>
      </c>
      <c r="AC11" s="43" t="s">
        <v>81</v>
      </c>
      <c r="AD11" s="43" t="s">
        <v>80</v>
      </c>
      <c r="AE11" s="43" t="s">
        <v>80</v>
      </c>
      <c r="AF11" s="43" t="s">
        <v>80</v>
      </c>
    </row>
    <row r="12" spans="1:33">
      <c r="A12" s="11">
        <v>20070795009</v>
      </c>
      <c r="B12" s="12" t="s">
        <v>17</v>
      </c>
      <c r="C12" s="69" t="s">
        <v>81</v>
      </c>
      <c r="D12" s="69" t="s">
        <v>81</v>
      </c>
      <c r="E12" s="53" t="s">
        <v>80</v>
      </c>
      <c r="F12" s="53" t="s">
        <v>81</v>
      </c>
      <c r="G12" s="53" t="s">
        <v>80</v>
      </c>
      <c r="H12" s="53" t="s">
        <v>80</v>
      </c>
      <c r="I12" s="53" t="s">
        <v>80</v>
      </c>
      <c r="J12" s="53" t="s">
        <v>81</v>
      </c>
      <c r="K12" s="53" t="s">
        <v>81</v>
      </c>
      <c r="L12" s="53" t="s">
        <v>80</v>
      </c>
      <c r="M12" s="53" t="s">
        <v>80</v>
      </c>
      <c r="N12" s="53" t="s">
        <v>80</v>
      </c>
      <c r="O12" s="53" t="s">
        <v>81</v>
      </c>
      <c r="P12" s="53" t="s">
        <v>81</v>
      </c>
      <c r="Q12" s="53" t="s">
        <v>81</v>
      </c>
      <c r="R12" s="43" t="s">
        <v>81</v>
      </c>
      <c r="S12" s="43" t="s">
        <v>81</v>
      </c>
      <c r="T12" s="43" t="s">
        <v>81</v>
      </c>
      <c r="U12" s="43" t="s">
        <v>81</v>
      </c>
      <c r="V12" s="43" t="s">
        <v>81</v>
      </c>
      <c r="W12" s="43" t="s">
        <v>81</v>
      </c>
      <c r="X12" s="43" t="s">
        <v>81</v>
      </c>
      <c r="Y12" s="43" t="s">
        <v>81</v>
      </c>
      <c r="Z12" s="43" t="s">
        <v>81</v>
      </c>
      <c r="AA12" s="43" t="s">
        <v>81</v>
      </c>
      <c r="AB12" s="43" t="s">
        <v>81</v>
      </c>
      <c r="AC12" s="43" t="s">
        <v>81</v>
      </c>
      <c r="AD12" s="43" t="s">
        <v>81</v>
      </c>
      <c r="AE12" s="43" t="s">
        <v>81</v>
      </c>
      <c r="AF12" s="43" t="s">
        <v>81</v>
      </c>
    </row>
    <row r="13" spans="1:33">
      <c r="A13" s="3">
        <v>20070795025</v>
      </c>
      <c r="B13" s="12" t="s">
        <v>18</v>
      </c>
      <c r="C13" s="69" t="s">
        <v>81</v>
      </c>
      <c r="D13" s="69" t="s">
        <v>80</v>
      </c>
      <c r="E13" s="53" t="s">
        <v>80</v>
      </c>
      <c r="F13" s="53" t="s">
        <v>80</v>
      </c>
      <c r="G13" s="53" t="s">
        <v>80</v>
      </c>
      <c r="H13" s="53" t="s">
        <v>81</v>
      </c>
      <c r="I13" s="53" t="s">
        <v>81</v>
      </c>
      <c r="J13" s="53" t="s">
        <v>81</v>
      </c>
      <c r="K13" s="53" t="s">
        <v>80</v>
      </c>
      <c r="L13" s="53" t="s">
        <v>80</v>
      </c>
      <c r="M13" s="53" t="s">
        <v>81</v>
      </c>
      <c r="N13" s="53" t="s">
        <v>80</v>
      </c>
      <c r="O13" s="53" t="s">
        <v>81</v>
      </c>
      <c r="P13" s="53" t="s">
        <v>80</v>
      </c>
      <c r="Q13" s="53" t="s">
        <v>80</v>
      </c>
      <c r="R13" s="43" t="s">
        <v>80</v>
      </c>
      <c r="S13" s="43" t="s">
        <v>80</v>
      </c>
      <c r="T13" s="43" t="s">
        <v>81</v>
      </c>
      <c r="U13" s="43" t="s">
        <v>81</v>
      </c>
      <c r="V13" s="43" t="s">
        <v>81</v>
      </c>
      <c r="W13" s="43" t="s">
        <v>81</v>
      </c>
      <c r="X13" s="43" t="s">
        <v>81</v>
      </c>
      <c r="Y13" s="43" t="s">
        <v>80</v>
      </c>
      <c r="Z13" s="43" t="s">
        <v>81</v>
      </c>
      <c r="AA13" s="43" t="s">
        <v>80</v>
      </c>
      <c r="AB13" s="43" t="s">
        <v>81</v>
      </c>
      <c r="AC13" s="43" t="s">
        <v>81</v>
      </c>
      <c r="AD13" s="43" t="s">
        <v>81</v>
      </c>
      <c r="AE13" s="43" t="s">
        <v>81</v>
      </c>
      <c r="AF13" s="43" t="s">
        <v>81</v>
      </c>
    </row>
    <row r="14" spans="1:33">
      <c r="A14" s="3">
        <v>20070795011</v>
      </c>
      <c r="B14" s="9" t="s">
        <v>19</v>
      </c>
      <c r="C14" s="69" t="s">
        <v>80</v>
      </c>
      <c r="D14" s="69" t="s">
        <v>80</v>
      </c>
      <c r="E14" s="53" t="s">
        <v>80</v>
      </c>
      <c r="F14" s="53" t="s">
        <v>80</v>
      </c>
      <c r="G14" s="53" t="s">
        <v>80</v>
      </c>
      <c r="H14" s="53" t="s">
        <v>80</v>
      </c>
      <c r="I14" s="53" t="s">
        <v>81</v>
      </c>
      <c r="J14" s="53" t="s">
        <v>80</v>
      </c>
      <c r="K14" s="53" t="s">
        <v>80</v>
      </c>
      <c r="L14" s="53" t="s">
        <v>80</v>
      </c>
      <c r="M14" s="53" t="s">
        <v>80</v>
      </c>
      <c r="N14" s="53" t="s">
        <v>80</v>
      </c>
      <c r="O14" s="53" t="s">
        <v>80</v>
      </c>
      <c r="P14" s="53" t="s">
        <v>81</v>
      </c>
      <c r="Q14" s="53" t="s">
        <v>80</v>
      </c>
      <c r="R14" s="43" t="s">
        <v>80</v>
      </c>
      <c r="S14" s="43" t="s">
        <v>80</v>
      </c>
      <c r="T14" s="43" t="s">
        <v>80</v>
      </c>
      <c r="U14" s="43" t="s">
        <v>81</v>
      </c>
      <c r="V14" s="43" t="s">
        <v>80</v>
      </c>
      <c r="W14" s="43" t="s">
        <v>81</v>
      </c>
      <c r="X14" s="43" t="s">
        <v>81</v>
      </c>
      <c r="Y14" s="43" t="s">
        <v>80</v>
      </c>
      <c r="Z14" s="43" t="s">
        <v>81</v>
      </c>
      <c r="AA14" s="43" t="s">
        <v>81</v>
      </c>
      <c r="AB14" s="43" t="s">
        <v>81</v>
      </c>
      <c r="AC14" s="43" t="s">
        <v>81</v>
      </c>
      <c r="AD14" s="43" t="s">
        <v>81</v>
      </c>
      <c r="AE14" s="43" t="s">
        <v>81</v>
      </c>
      <c r="AF14" s="43" t="s">
        <v>80</v>
      </c>
    </row>
    <row r="15" spans="1:33">
      <c r="A15" s="3">
        <v>20070795007</v>
      </c>
      <c r="B15" s="11" t="s">
        <v>20</v>
      </c>
      <c r="C15" s="69" t="s">
        <v>80</v>
      </c>
      <c r="D15" s="69" t="s">
        <v>80</v>
      </c>
      <c r="E15" s="53" t="s">
        <v>80</v>
      </c>
      <c r="F15" s="53" t="s">
        <v>80</v>
      </c>
      <c r="G15" s="53" t="s">
        <v>80</v>
      </c>
      <c r="H15" s="53" t="s">
        <v>80</v>
      </c>
      <c r="I15" s="53" t="s">
        <v>81</v>
      </c>
      <c r="J15" s="53" t="s">
        <v>80</v>
      </c>
      <c r="K15" s="53" t="s">
        <v>80</v>
      </c>
      <c r="L15" s="53" t="s">
        <v>80</v>
      </c>
      <c r="M15" s="53" t="s">
        <v>81</v>
      </c>
      <c r="N15" s="53" t="s">
        <v>80</v>
      </c>
      <c r="O15" s="53" t="s">
        <v>80</v>
      </c>
      <c r="P15" s="53" t="s">
        <v>81</v>
      </c>
      <c r="Q15" s="53" t="s">
        <v>80</v>
      </c>
      <c r="R15" s="43" t="s">
        <v>80</v>
      </c>
      <c r="S15" s="43" t="s">
        <v>81</v>
      </c>
      <c r="T15" s="43" t="s">
        <v>81</v>
      </c>
      <c r="U15" s="43" t="s">
        <v>80</v>
      </c>
      <c r="V15" s="43" t="s">
        <v>80</v>
      </c>
      <c r="W15" s="43" t="s">
        <v>81</v>
      </c>
      <c r="X15" s="43" t="s">
        <v>80</v>
      </c>
      <c r="Y15" s="43" t="s">
        <v>80</v>
      </c>
      <c r="Z15" s="43" t="s">
        <v>80</v>
      </c>
      <c r="AA15" s="43" t="s">
        <v>81</v>
      </c>
      <c r="AB15" s="43" t="s">
        <v>80</v>
      </c>
      <c r="AC15" s="43" t="s">
        <v>81</v>
      </c>
      <c r="AD15" s="43" t="s">
        <v>81</v>
      </c>
      <c r="AE15" s="43" t="s">
        <v>81</v>
      </c>
      <c r="AF15" s="43" t="s">
        <v>80</v>
      </c>
    </row>
    <row r="16" spans="1:33">
      <c r="A16" s="3">
        <v>20070795026</v>
      </c>
      <c r="B16" s="9" t="s">
        <v>21</v>
      </c>
      <c r="C16" s="69" t="s">
        <v>80</v>
      </c>
      <c r="D16" s="69" t="s">
        <v>80</v>
      </c>
      <c r="E16" s="53" t="s">
        <v>81</v>
      </c>
      <c r="F16" s="53" t="s">
        <v>81</v>
      </c>
      <c r="G16" s="53" t="s">
        <v>80</v>
      </c>
      <c r="H16" s="53" t="s">
        <v>81</v>
      </c>
      <c r="I16" s="53" t="s">
        <v>81</v>
      </c>
      <c r="J16" s="53" t="s">
        <v>81</v>
      </c>
      <c r="K16" s="53" t="s">
        <v>80</v>
      </c>
      <c r="L16" s="53" t="s">
        <v>80</v>
      </c>
      <c r="M16" s="53" t="s">
        <v>80</v>
      </c>
      <c r="N16" s="71"/>
      <c r="O16" s="53" t="s">
        <v>80</v>
      </c>
      <c r="P16" s="53" t="s">
        <v>80</v>
      </c>
      <c r="Q16" s="71"/>
      <c r="R16" s="43" t="s">
        <v>80</v>
      </c>
      <c r="S16" s="43" t="s">
        <v>80</v>
      </c>
      <c r="T16" s="43" t="s">
        <v>80</v>
      </c>
      <c r="U16" s="43" t="s">
        <v>81</v>
      </c>
      <c r="V16" s="43" t="s">
        <v>80</v>
      </c>
      <c r="W16" s="43" t="s">
        <v>80</v>
      </c>
      <c r="X16" s="43" t="s">
        <v>80</v>
      </c>
      <c r="Y16" s="43" t="s">
        <v>81</v>
      </c>
      <c r="Z16" s="43" t="s">
        <v>80</v>
      </c>
      <c r="AA16" s="43" t="s">
        <v>81</v>
      </c>
      <c r="AB16" s="43" t="s">
        <v>80</v>
      </c>
      <c r="AC16" s="43" t="s">
        <v>81</v>
      </c>
      <c r="AD16" s="43" t="s">
        <v>81</v>
      </c>
      <c r="AE16" s="43" t="s">
        <v>81</v>
      </c>
      <c r="AF16" s="43" t="s">
        <v>81</v>
      </c>
    </row>
    <row r="17" spans="1:32">
      <c r="A17" s="3">
        <v>20070795010</v>
      </c>
      <c r="B17" s="9" t="s">
        <v>22</v>
      </c>
      <c r="C17" s="69" t="s">
        <v>80</v>
      </c>
      <c r="D17" s="69" t="s">
        <v>80</v>
      </c>
      <c r="E17" s="53" t="s">
        <v>80</v>
      </c>
      <c r="F17" s="53" t="s">
        <v>81</v>
      </c>
      <c r="G17" s="53" t="s">
        <v>80</v>
      </c>
      <c r="H17" s="53" t="s">
        <v>80</v>
      </c>
      <c r="I17" s="53" t="s">
        <v>80</v>
      </c>
      <c r="J17" s="53" t="s">
        <v>80</v>
      </c>
      <c r="K17" s="53" t="s">
        <v>80</v>
      </c>
      <c r="L17" s="53" t="s">
        <v>80</v>
      </c>
      <c r="M17" s="53" t="s">
        <v>81</v>
      </c>
      <c r="N17" s="53" t="s">
        <v>80</v>
      </c>
      <c r="O17" s="53" t="s">
        <v>80</v>
      </c>
      <c r="P17" s="53" t="s">
        <v>81</v>
      </c>
      <c r="Q17" s="53" t="s">
        <v>80</v>
      </c>
      <c r="R17" s="43" t="s">
        <v>80</v>
      </c>
      <c r="S17" s="43" t="s">
        <v>81</v>
      </c>
      <c r="T17" s="43" t="s">
        <v>81</v>
      </c>
      <c r="U17" s="43" t="s">
        <v>81</v>
      </c>
      <c r="V17" s="43" t="s">
        <v>81</v>
      </c>
      <c r="W17" s="43" t="s">
        <v>81</v>
      </c>
      <c r="X17" s="43" t="s">
        <v>81</v>
      </c>
      <c r="Y17" s="43" t="s">
        <v>81</v>
      </c>
      <c r="Z17" s="43" t="s">
        <v>81</v>
      </c>
      <c r="AA17" s="43" t="s">
        <v>81</v>
      </c>
      <c r="AB17" s="43" t="s">
        <v>81</v>
      </c>
      <c r="AC17" s="43" t="s">
        <v>81</v>
      </c>
      <c r="AD17" s="43" t="s">
        <v>81</v>
      </c>
      <c r="AE17" s="43" t="s">
        <v>81</v>
      </c>
      <c r="AF17" s="43" t="s">
        <v>81</v>
      </c>
    </row>
    <row r="18" spans="1:32">
      <c r="A18" s="3">
        <v>20070795013</v>
      </c>
      <c r="B18" s="9" t="s">
        <v>23</v>
      </c>
      <c r="C18" s="69" t="s">
        <v>80</v>
      </c>
      <c r="D18" s="69" t="s">
        <v>80</v>
      </c>
      <c r="E18" s="53" t="s">
        <v>80</v>
      </c>
      <c r="F18" s="53" t="s">
        <v>81</v>
      </c>
      <c r="G18" s="53" t="s">
        <v>80</v>
      </c>
      <c r="H18" s="53" t="s">
        <v>80</v>
      </c>
      <c r="I18" s="53" t="s">
        <v>81</v>
      </c>
      <c r="J18" s="53" t="s">
        <v>80</v>
      </c>
      <c r="K18" s="53" t="s">
        <v>80</v>
      </c>
      <c r="L18" s="53" t="s">
        <v>80</v>
      </c>
      <c r="M18" s="53" t="s">
        <v>80</v>
      </c>
      <c r="N18" s="53" t="s">
        <v>80</v>
      </c>
      <c r="O18" s="53" t="s">
        <v>80</v>
      </c>
      <c r="P18" s="53" t="s">
        <v>80</v>
      </c>
      <c r="Q18" s="53" t="s">
        <v>80</v>
      </c>
      <c r="R18" s="43" t="s">
        <v>80</v>
      </c>
      <c r="S18" s="43" t="s">
        <v>80</v>
      </c>
      <c r="T18" s="43" t="s">
        <v>80</v>
      </c>
      <c r="U18" s="43" t="s">
        <v>81</v>
      </c>
      <c r="V18" s="43" t="s">
        <v>80</v>
      </c>
      <c r="W18" s="43" t="s">
        <v>81</v>
      </c>
      <c r="X18" s="43" t="s">
        <v>80</v>
      </c>
      <c r="Y18" s="43" t="s">
        <v>81</v>
      </c>
      <c r="Z18" s="43" t="s">
        <v>80</v>
      </c>
      <c r="AA18" s="43" t="s">
        <v>81</v>
      </c>
      <c r="AB18" s="43" t="s">
        <v>81</v>
      </c>
      <c r="AC18" s="43" t="s">
        <v>81</v>
      </c>
      <c r="AD18" s="43" t="s">
        <v>81</v>
      </c>
      <c r="AE18" s="43" t="s">
        <v>81</v>
      </c>
      <c r="AF18" s="43" t="s">
        <v>80</v>
      </c>
    </row>
    <row r="19" spans="1:32">
      <c r="A19" s="34">
        <v>20070795017</v>
      </c>
      <c r="B19" s="35" t="s">
        <v>24</v>
      </c>
      <c r="C19" s="53" t="s">
        <v>80</v>
      </c>
      <c r="D19" s="69" t="s">
        <v>81</v>
      </c>
      <c r="E19" s="53" t="s">
        <v>81</v>
      </c>
      <c r="F19" s="53" t="s">
        <v>80</v>
      </c>
      <c r="G19" s="53" t="s">
        <v>80</v>
      </c>
      <c r="H19" s="53" t="s">
        <v>80</v>
      </c>
      <c r="I19" s="53" t="s">
        <v>81</v>
      </c>
      <c r="J19" s="53" t="s">
        <v>80</v>
      </c>
      <c r="K19" s="53" t="s">
        <v>80</v>
      </c>
      <c r="L19" s="53" t="s">
        <v>80</v>
      </c>
      <c r="M19" s="53" t="s">
        <v>81</v>
      </c>
      <c r="N19" s="53" t="s">
        <v>80</v>
      </c>
      <c r="O19" s="53" t="s">
        <v>81</v>
      </c>
      <c r="P19" s="53" t="s">
        <v>81</v>
      </c>
      <c r="Q19" s="53" t="s">
        <v>80</v>
      </c>
      <c r="R19" s="43" t="s">
        <v>80</v>
      </c>
      <c r="S19" s="43" t="s">
        <v>80</v>
      </c>
      <c r="T19" s="43" t="s">
        <v>80</v>
      </c>
      <c r="U19" s="43" t="s">
        <v>80</v>
      </c>
      <c r="V19" s="43" t="s">
        <v>80</v>
      </c>
      <c r="W19" s="43" t="s">
        <v>81</v>
      </c>
      <c r="X19" s="43" t="s">
        <v>80</v>
      </c>
      <c r="Y19" s="43" t="s">
        <v>80</v>
      </c>
      <c r="Z19" s="43" t="s">
        <v>81</v>
      </c>
      <c r="AA19" s="43" t="s">
        <v>81</v>
      </c>
      <c r="AB19" s="43" t="s">
        <v>81</v>
      </c>
      <c r="AC19" s="43" t="s">
        <v>81</v>
      </c>
      <c r="AD19" s="43" t="s">
        <v>81</v>
      </c>
      <c r="AE19" s="43" t="s">
        <v>80</v>
      </c>
      <c r="AF19" s="43" t="s">
        <v>80</v>
      </c>
    </row>
    <row r="20" spans="1:32">
      <c r="A20" s="105" t="s">
        <v>82</v>
      </c>
      <c r="B20" s="96"/>
      <c r="D20" s="72"/>
    </row>
    <row r="21" spans="1:32">
      <c r="D21" s="72"/>
    </row>
  </sheetData>
  <mergeCells count="7">
    <mergeCell ref="A20:B20"/>
    <mergeCell ref="A1:T1"/>
    <mergeCell ref="A2:T2"/>
    <mergeCell ref="A4:A6"/>
    <mergeCell ref="B4:B5"/>
    <mergeCell ref="C4:Q4"/>
    <mergeCell ref="R4:A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inkuiri</vt:lpstr>
      <vt:lpstr>UTS</vt:lpstr>
      <vt:lpstr>UAS</vt:lpstr>
      <vt:lpstr>Data Baru</vt:lpstr>
      <vt:lpstr>Sheet1</vt:lpstr>
      <vt:lpstr>Perbaikan UTS</vt:lpstr>
      <vt:lpstr>Pretest</vt:lpstr>
      <vt:lpstr>Mentah Perbaikan UTS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P.Wahono</dc:creator>
  <cp:lastModifiedBy>Wahono Widodo</cp:lastModifiedBy>
  <dcterms:created xsi:type="dcterms:W3CDTF">2021-02-23T02:20:34Z</dcterms:created>
  <dcterms:modified xsi:type="dcterms:W3CDTF">2021-03-02T22:53:18Z</dcterms:modified>
</cp:coreProperties>
</file>